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filterPrivacy="1" defaultThemeVersion="124226"/>
  <xr:revisionPtr revIDLastSave="0" documentId="8_{BB5E8CD5-3788-4DF9-AF69-CC79DB6BCB5D}" xr6:coauthVersionLast="45" xr6:coauthVersionMax="45" xr10:uidLastSave="{00000000-0000-0000-0000-000000000000}"/>
  <bookViews>
    <workbookView xWindow="6660" yWindow="468" windowWidth="15792" windowHeight="11508" tabRatio="446" xr2:uid="{00000000-000D-0000-FFFF-FFFF00000000}"/>
  </bookViews>
  <sheets>
    <sheet name="Сырьё лето" sheetId="3" r:id="rId1"/>
    <sheet name="Меню лето" sheetId="4" r:id="rId2"/>
  </sheets>
  <calcPr calcId="191029" iterateDelta="1E-4"/>
</workbook>
</file>

<file path=xl/calcChain.xml><?xml version="1.0" encoding="utf-8"?>
<calcChain xmlns="http://schemas.openxmlformats.org/spreadsheetml/2006/main">
  <c r="H10" i="4" l="1"/>
  <c r="H103" i="4"/>
  <c r="H115" i="4"/>
  <c r="H80" i="4"/>
  <c r="H68" i="4"/>
  <c r="E79" i="4"/>
  <c r="H79" i="4" s="1"/>
  <c r="F79" i="4"/>
  <c r="G79" i="4"/>
  <c r="I79" i="4"/>
  <c r="J79" i="4"/>
  <c r="M79" i="4"/>
  <c r="N79" i="4"/>
  <c r="O79" i="4"/>
  <c r="P79" i="4"/>
  <c r="Q79" i="4"/>
  <c r="I70" i="4" l="1"/>
  <c r="J70" i="4"/>
  <c r="K70" i="4"/>
  <c r="L70" i="4"/>
  <c r="M70" i="4"/>
  <c r="N70" i="4"/>
  <c r="O70" i="4"/>
  <c r="P70" i="4"/>
  <c r="Q70" i="4"/>
  <c r="R70" i="4"/>
  <c r="S70" i="4"/>
  <c r="D70" i="4"/>
  <c r="F62" i="4"/>
  <c r="F70" i="4" s="1"/>
  <c r="E62" i="4"/>
  <c r="E70" i="4" s="1"/>
  <c r="J94" i="3"/>
  <c r="J84" i="3"/>
  <c r="D115" i="3"/>
  <c r="E115" i="3"/>
  <c r="G115" i="3"/>
  <c r="H115" i="3"/>
  <c r="I115" i="3"/>
  <c r="K115" i="3"/>
  <c r="L115" i="3"/>
  <c r="M115" i="3"/>
  <c r="N115" i="3"/>
  <c r="O115" i="3"/>
  <c r="P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C115" i="3"/>
  <c r="D103" i="3"/>
  <c r="F103" i="3"/>
  <c r="G103" i="3"/>
  <c r="H103" i="3"/>
  <c r="I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C103" i="3"/>
  <c r="E117" i="4"/>
  <c r="F117" i="4"/>
  <c r="G117" i="4"/>
  <c r="I117" i="4"/>
  <c r="J117" i="4"/>
  <c r="K117" i="4"/>
  <c r="L117" i="4"/>
  <c r="M117" i="4"/>
  <c r="N117" i="4"/>
  <c r="O117" i="4"/>
  <c r="P117" i="4"/>
  <c r="Q117" i="4"/>
  <c r="R117" i="4"/>
  <c r="S117" i="4"/>
  <c r="D117" i="4"/>
  <c r="I105" i="4"/>
  <c r="J105" i="4"/>
  <c r="K105" i="4"/>
  <c r="L105" i="4"/>
  <c r="M105" i="4"/>
  <c r="N105" i="4"/>
  <c r="O105" i="4"/>
  <c r="P105" i="4"/>
  <c r="Q105" i="4"/>
  <c r="R105" i="4"/>
  <c r="S105" i="4"/>
  <c r="D105" i="4"/>
  <c r="H114" i="4"/>
  <c r="H112" i="4"/>
  <c r="H111" i="4"/>
  <c r="H110" i="4"/>
  <c r="H109" i="4"/>
  <c r="H96" i="4"/>
  <c r="H102" i="4"/>
  <c r="H101" i="4"/>
  <c r="G100" i="4"/>
  <c r="F100" i="4"/>
  <c r="F105" i="4" s="1"/>
  <c r="E100" i="4"/>
  <c r="E105" i="4" s="1"/>
  <c r="G99" i="4"/>
  <c r="G105" i="4" s="1"/>
  <c r="H98" i="4"/>
  <c r="H97" i="4"/>
  <c r="H108" i="4"/>
  <c r="S93" i="4"/>
  <c r="R93" i="4"/>
  <c r="L93" i="4"/>
  <c r="K93" i="4"/>
  <c r="D93" i="4"/>
  <c r="H91" i="4"/>
  <c r="Q90" i="4"/>
  <c r="Q93" i="4" s="1"/>
  <c r="P90" i="4"/>
  <c r="P93" i="4" s="1"/>
  <c r="O90" i="4"/>
  <c r="O93" i="4" s="1"/>
  <c r="N90" i="4"/>
  <c r="N93" i="4" s="1"/>
  <c r="M90" i="4"/>
  <c r="M93" i="4" s="1"/>
  <c r="J90" i="4"/>
  <c r="J93" i="4" s="1"/>
  <c r="I90" i="4"/>
  <c r="I93" i="4" s="1"/>
  <c r="G90" i="4"/>
  <c r="G93" i="4" s="1"/>
  <c r="F90" i="4"/>
  <c r="F93" i="4" s="1"/>
  <c r="E90" i="4"/>
  <c r="E93" i="4" s="1"/>
  <c r="H89" i="4"/>
  <c r="H88" i="4"/>
  <c r="H87" i="4"/>
  <c r="H86" i="4"/>
  <c r="H85" i="4"/>
  <c r="S82" i="4"/>
  <c r="R82" i="4"/>
  <c r="L82" i="4"/>
  <c r="K82" i="4"/>
  <c r="D82" i="4"/>
  <c r="Q82" i="4"/>
  <c r="P82" i="4"/>
  <c r="O82" i="4"/>
  <c r="N82" i="4"/>
  <c r="M82" i="4"/>
  <c r="J82" i="4"/>
  <c r="I82" i="4"/>
  <c r="F82" i="4"/>
  <c r="E82" i="4"/>
  <c r="H78" i="4"/>
  <c r="G77" i="4"/>
  <c r="G82" i="4" s="1"/>
  <c r="H76" i="4"/>
  <c r="H75" i="4"/>
  <c r="H74" i="4"/>
  <c r="H73" i="4"/>
  <c r="H67" i="4"/>
  <c r="H66" i="4"/>
  <c r="H65" i="4"/>
  <c r="G64" i="4"/>
  <c r="G70" i="4" s="1"/>
  <c r="H63" i="4"/>
  <c r="S59" i="4"/>
  <c r="R59" i="4"/>
  <c r="Q59" i="4"/>
  <c r="P59" i="4"/>
  <c r="O59" i="4"/>
  <c r="N59" i="4"/>
  <c r="M59" i="4"/>
  <c r="L59" i="4"/>
  <c r="K59" i="4"/>
  <c r="J59" i="4"/>
  <c r="I59" i="4"/>
  <c r="G59" i="4"/>
  <c r="F59" i="4"/>
  <c r="E59" i="4"/>
  <c r="D59" i="4"/>
  <c r="H57" i="4"/>
  <c r="H56" i="4"/>
  <c r="H54" i="4"/>
  <c r="H53" i="4"/>
  <c r="H52" i="4"/>
  <c r="H51" i="4"/>
  <c r="H59" i="4" s="1"/>
  <c r="S48" i="4"/>
  <c r="R48" i="4"/>
  <c r="Q48" i="4"/>
  <c r="P48" i="4"/>
  <c r="O48" i="4"/>
  <c r="N48" i="4"/>
  <c r="M48" i="4"/>
  <c r="L48" i="4"/>
  <c r="K48" i="4"/>
  <c r="J48" i="4"/>
  <c r="I48" i="4"/>
  <c r="G48" i="4"/>
  <c r="D48" i="4"/>
  <c r="H46" i="4"/>
  <c r="H45" i="4"/>
  <c r="F44" i="4"/>
  <c r="F48" i="4" s="1"/>
  <c r="E44" i="4"/>
  <c r="E48" i="4" s="1"/>
  <c r="H43" i="4"/>
  <c r="H42" i="4"/>
  <c r="H41" i="4"/>
  <c r="H40" i="4"/>
  <c r="S37" i="4"/>
  <c r="R37" i="4"/>
  <c r="Q37" i="4"/>
  <c r="P37" i="4"/>
  <c r="O37" i="4"/>
  <c r="N37" i="4"/>
  <c r="M37" i="4"/>
  <c r="L37" i="4"/>
  <c r="K37" i="4"/>
  <c r="J37" i="4"/>
  <c r="I37" i="4"/>
  <c r="F37" i="4"/>
  <c r="D37" i="4"/>
  <c r="H35" i="4"/>
  <c r="H34" i="4"/>
  <c r="H32" i="4"/>
  <c r="G31" i="4"/>
  <c r="G37" i="4" s="1"/>
  <c r="E31" i="4"/>
  <c r="H31" i="4" s="1"/>
  <c r="H30" i="4"/>
  <c r="H29" i="4"/>
  <c r="H28" i="4"/>
  <c r="S25" i="4"/>
  <c r="R25" i="4"/>
  <c r="Q25" i="4"/>
  <c r="P25" i="4"/>
  <c r="O25" i="4"/>
  <c r="N25" i="4"/>
  <c r="M25" i="4"/>
  <c r="L25" i="4"/>
  <c r="K25" i="4"/>
  <c r="J25" i="4"/>
  <c r="I25" i="4"/>
  <c r="G25" i="4"/>
  <c r="D25" i="4"/>
  <c r="H23" i="4"/>
  <c r="H22" i="4"/>
  <c r="H21" i="4"/>
  <c r="H20" i="4"/>
  <c r="F19" i="4"/>
  <c r="F25" i="4" s="1"/>
  <c r="E19" i="4"/>
  <c r="H19" i="4" s="1"/>
  <c r="H18" i="4"/>
  <c r="H17" i="4"/>
  <c r="H16" i="4"/>
  <c r="S13" i="4"/>
  <c r="R13" i="4"/>
  <c r="L13" i="4"/>
  <c r="K13" i="4"/>
  <c r="D13" i="4"/>
  <c r="H11" i="4"/>
  <c r="Q13" i="4"/>
  <c r="P13" i="4"/>
  <c r="O13" i="4"/>
  <c r="N13" i="4"/>
  <c r="M13" i="4"/>
  <c r="J13" i="4"/>
  <c r="I13" i="4"/>
  <c r="H9" i="4"/>
  <c r="G8" i="4"/>
  <c r="F8" i="4"/>
  <c r="E8" i="4"/>
  <c r="H7" i="4"/>
  <c r="H6" i="4"/>
  <c r="H5" i="4"/>
  <c r="E96" i="3"/>
  <c r="E103" i="3" s="1"/>
  <c r="J41" i="3"/>
  <c r="C41" i="3"/>
  <c r="I75" i="3"/>
  <c r="M24" i="3"/>
  <c r="M36" i="3"/>
  <c r="M47" i="3"/>
  <c r="J85" i="3"/>
  <c r="I30" i="3"/>
  <c r="I36" i="3" s="1"/>
  <c r="C63" i="3"/>
  <c r="C69" i="3" s="1"/>
  <c r="C12" i="3"/>
  <c r="T63" i="3"/>
  <c r="T69" i="3" s="1"/>
  <c r="F108" i="3"/>
  <c r="F115" i="3" s="1"/>
  <c r="Q108" i="3"/>
  <c r="Q115" i="3" s="1"/>
  <c r="J97" i="3"/>
  <c r="C91" i="3"/>
  <c r="M12" i="3"/>
  <c r="Z31" i="3"/>
  <c r="Z36" i="3" s="1"/>
  <c r="F31" i="3"/>
  <c r="F36" i="3" s="1"/>
  <c r="J39" i="3"/>
  <c r="J73" i="3"/>
  <c r="I73" i="3"/>
  <c r="J95" i="3"/>
  <c r="J107" i="3"/>
  <c r="H62" i="3"/>
  <c r="J51" i="3"/>
  <c r="J40" i="3"/>
  <c r="J28" i="3"/>
  <c r="J5" i="3"/>
  <c r="J16" i="3"/>
  <c r="I16" i="3"/>
  <c r="J50" i="3"/>
  <c r="C39" i="3"/>
  <c r="M58" i="3"/>
  <c r="N58" i="3"/>
  <c r="M91" i="3"/>
  <c r="M81" i="3"/>
  <c r="M69" i="3"/>
  <c r="D36" i="3"/>
  <c r="G36" i="3"/>
  <c r="H36" i="3"/>
  <c r="K36" i="3"/>
  <c r="L36" i="3"/>
  <c r="N36" i="3"/>
  <c r="O36" i="3"/>
  <c r="P36" i="3"/>
  <c r="R36" i="3"/>
  <c r="S36" i="3"/>
  <c r="T36" i="3"/>
  <c r="U36" i="3"/>
  <c r="V36" i="3"/>
  <c r="W36" i="3"/>
  <c r="X36" i="3"/>
  <c r="AA36" i="3"/>
  <c r="AB36" i="3"/>
  <c r="AC36" i="3"/>
  <c r="AD36" i="3"/>
  <c r="AE36" i="3"/>
  <c r="AF36" i="3"/>
  <c r="AG36" i="3"/>
  <c r="C36" i="3"/>
  <c r="D91" i="3"/>
  <c r="E91" i="3"/>
  <c r="F91" i="3"/>
  <c r="G91" i="3"/>
  <c r="H91" i="3"/>
  <c r="I91" i="3"/>
  <c r="K91" i="3"/>
  <c r="L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D12" i="3"/>
  <c r="E12" i="3"/>
  <c r="F12" i="3"/>
  <c r="G12" i="3"/>
  <c r="H12" i="3"/>
  <c r="I12" i="3"/>
  <c r="K12" i="3"/>
  <c r="L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D69" i="3"/>
  <c r="E69" i="3"/>
  <c r="F69" i="3"/>
  <c r="G69" i="3"/>
  <c r="I69" i="3"/>
  <c r="J69" i="3"/>
  <c r="K69" i="3"/>
  <c r="L69" i="3"/>
  <c r="N69" i="3"/>
  <c r="O69" i="3"/>
  <c r="P69" i="3"/>
  <c r="Q69" i="3"/>
  <c r="R69" i="3"/>
  <c r="S69" i="3"/>
  <c r="U69" i="3"/>
  <c r="V69" i="3"/>
  <c r="W69" i="3"/>
  <c r="X69" i="3"/>
  <c r="Y69" i="3"/>
  <c r="AA69" i="3"/>
  <c r="AB69" i="3"/>
  <c r="AC69" i="3"/>
  <c r="AD69" i="3"/>
  <c r="AE69" i="3"/>
  <c r="AF69" i="3"/>
  <c r="AG69" i="3"/>
  <c r="H117" i="4" l="1"/>
  <c r="H100" i="4"/>
  <c r="C47" i="3"/>
  <c r="J115" i="3"/>
  <c r="J103" i="3"/>
  <c r="H62" i="4"/>
  <c r="H70" i="4" s="1"/>
  <c r="R126" i="4"/>
  <c r="K126" i="4"/>
  <c r="H8" i="4"/>
  <c r="H13" i="4" s="1"/>
  <c r="D126" i="4"/>
  <c r="H44" i="4"/>
  <c r="H48" i="4" s="1"/>
  <c r="H64" i="4"/>
  <c r="H77" i="4"/>
  <c r="E13" i="4"/>
  <c r="F13" i="4"/>
  <c r="F126" i="4" s="1"/>
  <c r="G13" i="4"/>
  <c r="G126" i="4" s="1"/>
  <c r="S126" i="4"/>
  <c r="H25" i="4"/>
  <c r="L126" i="4"/>
  <c r="M126" i="4"/>
  <c r="N126" i="4"/>
  <c r="O126" i="4"/>
  <c r="P126" i="4"/>
  <c r="I126" i="4"/>
  <c r="Q126" i="4"/>
  <c r="J126" i="4"/>
  <c r="H37" i="4"/>
  <c r="H99" i="4"/>
  <c r="H105" i="4" s="1"/>
  <c r="E25" i="4"/>
  <c r="E37" i="4"/>
  <c r="H90" i="4"/>
  <c r="H93" i="4" s="1"/>
  <c r="M119" i="3"/>
  <c r="H82" i="4" l="1"/>
  <c r="H126" i="4" s="1"/>
  <c r="E126" i="4"/>
  <c r="Y29" i="3" l="1"/>
  <c r="Y36" i="3" s="1"/>
  <c r="Q29" i="3"/>
  <c r="Q36" i="3" s="1"/>
  <c r="J29" i="3"/>
  <c r="E29" i="3"/>
  <c r="E36" i="3" s="1"/>
  <c r="J86" i="3"/>
  <c r="J91" i="3" l="1"/>
  <c r="J52" i="3"/>
  <c r="J17" i="3"/>
  <c r="Q74" i="3"/>
  <c r="J36" i="3"/>
  <c r="AH115" i="3"/>
  <c r="D81" i="3" l="1"/>
  <c r="E81" i="3"/>
  <c r="F81" i="3"/>
  <c r="G81" i="3"/>
  <c r="H81" i="3"/>
  <c r="K81" i="3"/>
  <c r="L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C81" i="3"/>
  <c r="D58" i="3"/>
  <c r="E58" i="3"/>
  <c r="F58" i="3"/>
  <c r="G58" i="3"/>
  <c r="H58" i="3"/>
  <c r="I58" i="3"/>
  <c r="K58" i="3"/>
  <c r="L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C58" i="3"/>
  <c r="D47" i="3"/>
  <c r="E47" i="3"/>
  <c r="F47" i="3"/>
  <c r="G47" i="3"/>
  <c r="H47" i="3"/>
  <c r="K47" i="3"/>
  <c r="L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D24" i="3"/>
  <c r="E24" i="3"/>
  <c r="F24" i="3"/>
  <c r="G24" i="3"/>
  <c r="H24" i="3"/>
  <c r="I24" i="3"/>
  <c r="K24" i="3"/>
  <c r="L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C24" i="3"/>
  <c r="Z69" i="3"/>
  <c r="H69" i="3"/>
  <c r="AG120" i="3"/>
  <c r="AG121" i="3" s="1"/>
  <c r="J12" i="3"/>
  <c r="V119" i="3" l="1"/>
  <c r="Z119" i="3"/>
  <c r="AC119" i="3"/>
  <c r="U119" i="3"/>
  <c r="L119" i="3"/>
  <c r="F119" i="3"/>
  <c r="AB119" i="3"/>
  <c r="T119" i="3"/>
  <c r="K119" i="3"/>
  <c r="AG119" i="3"/>
  <c r="Y119" i="3"/>
  <c r="Q119" i="3"/>
  <c r="AA119" i="3"/>
  <c r="AF119" i="3"/>
  <c r="X119" i="3"/>
  <c r="P119" i="3"/>
  <c r="E119" i="3"/>
  <c r="S119" i="3"/>
  <c r="AE119" i="3"/>
  <c r="W119" i="3"/>
  <c r="O119" i="3"/>
  <c r="H119" i="3"/>
  <c r="N119" i="3"/>
  <c r="AD119" i="3"/>
  <c r="G119" i="3"/>
  <c r="R119" i="3"/>
  <c r="F158" i="3"/>
  <c r="I158" i="3" s="1"/>
  <c r="AF120" i="3" s="1"/>
  <c r="AF121" i="3" s="1"/>
  <c r="E158" i="3"/>
  <c r="H158" i="3" s="1"/>
  <c r="F157" i="3"/>
  <c r="I157" i="3" s="1"/>
  <c r="AE120" i="3" s="1"/>
  <c r="AE121" i="3" s="1"/>
  <c r="E157" i="3"/>
  <c r="H157" i="3" s="1"/>
  <c r="F156" i="3"/>
  <c r="I156" i="3" s="1"/>
  <c r="AD120" i="3" s="1"/>
  <c r="AD121" i="3" s="1"/>
  <c r="E156" i="3"/>
  <c r="H156" i="3" s="1"/>
  <c r="F155" i="3"/>
  <c r="I155" i="3" s="1"/>
  <c r="E155" i="3"/>
  <c r="H155" i="3" s="1"/>
  <c r="F154" i="3"/>
  <c r="I154" i="3" s="1"/>
  <c r="AC120" i="3" s="1"/>
  <c r="AC121" i="3" s="1"/>
  <c r="E154" i="3"/>
  <c r="H154" i="3" s="1"/>
  <c r="F153" i="3"/>
  <c r="I153" i="3" s="1"/>
  <c r="AB120" i="3" s="1"/>
  <c r="AB121" i="3" s="1"/>
  <c r="E153" i="3"/>
  <c r="H153" i="3" s="1"/>
  <c r="F152" i="3"/>
  <c r="I152" i="3" s="1"/>
  <c r="AA120" i="3" s="1"/>
  <c r="AA121" i="3" s="1"/>
  <c r="E152" i="3"/>
  <c r="H152" i="3" s="1"/>
  <c r="F151" i="3"/>
  <c r="I151" i="3" s="1"/>
  <c r="Z120" i="3" s="1"/>
  <c r="Z121" i="3" s="1"/>
  <c r="E151" i="3"/>
  <c r="H151" i="3" s="1"/>
  <c r="F150" i="3"/>
  <c r="I150" i="3" s="1"/>
  <c r="Y120" i="3" s="1"/>
  <c r="Y121" i="3" s="1"/>
  <c r="E150" i="3"/>
  <c r="H150" i="3" s="1"/>
  <c r="F149" i="3"/>
  <c r="I149" i="3" s="1"/>
  <c r="X120" i="3" s="1"/>
  <c r="X121" i="3" s="1"/>
  <c r="E149" i="3"/>
  <c r="H149" i="3" s="1"/>
  <c r="F148" i="3"/>
  <c r="I148" i="3" s="1"/>
  <c r="W120" i="3" s="1"/>
  <c r="W121" i="3" s="1"/>
  <c r="E148" i="3"/>
  <c r="H148" i="3" s="1"/>
  <c r="F147" i="3"/>
  <c r="I147" i="3" s="1"/>
  <c r="V120" i="3" s="1"/>
  <c r="V121" i="3" s="1"/>
  <c r="E147" i="3"/>
  <c r="H147" i="3" s="1"/>
  <c r="F146" i="3"/>
  <c r="I146" i="3" s="1"/>
  <c r="U120" i="3" s="1"/>
  <c r="U121" i="3" s="1"/>
  <c r="E146" i="3"/>
  <c r="H146" i="3" s="1"/>
  <c r="F145" i="3"/>
  <c r="I145" i="3" s="1"/>
  <c r="T120" i="3" s="1"/>
  <c r="T121" i="3" s="1"/>
  <c r="E145" i="3"/>
  <c r="H145" i="3" s="1"/>
  <c r="F144" i="3"/>
  <c r="I144" i="3" s="1"/>
  <c r="S120" i="3" s="1"/>
  <c r="S121" i="3" s="1"/>
  <c r="E144" i="3"/>
  <c r="H144" i="3" s="1"/>
  <c r="F143" i="3"/>
  <c r="I143" i="3" s="1"/>
  <c r="R120" i="3" s="1"/>
  <c r="R121" i="3" s="1"/>
  <c r="E143" i="3"/>
  <c r="H143" i="3" s="1"/>
  <c r="F142" i="3"/>
  <c r="I142" i="3" s="1"/>
  <c r="Q120" i="3" s="1"/>
  <c r="Q121" i="3" s="1"/>
  <c r="E142" i="3"/>
  <c r="H142" i="3" s="1"/>
  <c r="F141" i="3"/>
  <c r="I141" i="3" s="1"/>
  <c r="P120" i="3" s="1"/>
  <c r="P121" i="3" s="1"/>
  <c r="E141" i="3"/>
  <c r="H141" i="3" s="1"/>
  <c r="F140" i="3"/>
  <c r="I140" i="3" s="1"/>
  <c r="O120" i="3" s="1"/>
  <c r="O121" i="3" s="1"/>
  <c r="E140" i="3"/>
  <c r="H140" i="3" s="1"/>
  <c r="F139" i="3"/>
  <c r="I139" i="3" s="1"/>
  <c r="E139" i="3"/>
  <c r="H139" i="3" s="1"/>
  <c r="F138" i="3"/>
  <c r="I138" i="3" s="1"/>
  <c r="E138" i="3"/>
  <c r="H138" i="3" s="1"/>
  <c r="F137" i="3"/>
  <c r="I137" i="3" s="1"/>
  <c r="L120" i="3" s="1"/>
  <c r="L121" i="3" s="1"/>
  <c r="E137" i="3"/>
  <c r="H137" i="3" s="1"/>
  <c r="F136" i="3"/>
  <c r="I136" i="3" s="1"/>
  <c r="K120" i="3" s="1"/>
  <c r="K121" i="3" s="1"/>
  <c r="E136" i="3"/>
  <c r="H136" i="3" s="1"/>
  <c r="F135" i="3"/>
  <c r="I135" i="3" s="1"/>
  <c r="J120" i="3" s="1"/>
  <c r="J121" i="3" s="1"/>
  <c r="E135" i="3"/>
  <c r="H135" i="3" s="1"/>
  <c r="F134" i="3"/>
  <c r="I134" i="3" s="1"/>
  <c r="I120" i="3" s="1"/>
  <c r="I121" i="3" s="1"/>
  <c r="E134" i="3"/>
  <c r="H134" i="3" s="1"/>
  <c r="F133" i="3"/>
  <c r="I133" i="3" s="1"/>
  <c r="H120" i="3" s="1"/>
  <c r="H121" i="3" s="1"/>
  <c r="E133" i="3"/>
  <c r="H133" i="3" s="1"/>
  <c r="F132" i="3"/>
  <c r="I132" i="3" s="1"/>
  <c r="G120" i="3" s="1"/>
  <c r="G121" i="3" s="1"/>
  <c r="E132" i="3"/>
  <c r="H132" i="3" s="1"/>
  <c r="F131" i="3"/>
  <c r="I131" i="3" s="1"/>
  <c r="F120" i="3" s="1"/>
  <c r="F121" i="3" s="1"/>
  <c r="E131" i="3"/>
  <c r="H131" i="3" s="1"/>
  <c r="F130" i="3"/>
  <c r="I130" i="3" s="1"/>
  <c r="E120" i="3" s="1"/>
  <c r="E121" i="3" s="1"/>
  <c r="E130" i="3"/>
  <c r="H130" i="3" s="1"/>
  <c r="F129" i="3"/>
  <c r="I129" i="3" s="1"/>
  <c r="D120" i="3" s="1"/>
  <c r="D121" i="3" s="1"/>
  <c r="E129" i="3"/>
  <c r="H129" i="3" s="1"/>
  <c r="I81" i="3"/>
  <c r="J58" i="3"/>
  <c r="I47" i="3"/>
  <c r="J24" i="3"/>
  <c r="N120" i="3" l="1"/>
  <c r="N121" i="3" s="1"/>
  <c r="I119" i="3"/>
  <c r="M120" i="3"/>
  <c r="M122" i="3" s="1"/>
  <c r="J47" i="3"/>
  <c r="J81" i="3"/>
  <c r="N122" i="3" l="1"/>
  <c r="J119" i="3"/>
  <c r="M121" i="3"/>
  <c r="Y122" i="3" l="1"/>
  <c r="E122" i="3"/>
  <c r="V122" i="3"/>
  <c r="O122" i="3"/>
  <c r="AE122" i="3"/>
  <c r="AA122" i="3"/>
  <c r="R122" i="3"/>
  <c r="U122" i="3"/>
  <c r="J122" i="3"/>
  <c r="S122" i="3"/>
  <c r="P122" i="3"/>
  <c r="L122" i="3"/>
  <c r="AG122" i="3"/>
  <c r="K122" i="3"/>
  <c r="I122" i="3"/>
  <c r="G122" i="3"/>
  <c r="Z122" i="3"/>
  <c r="AC122" i="3"/>
  <c r="AB122" i="3"/>
  <c r="X122" i="3"/>
  <c r="AF122" i="3"/>
  <c r="H122" i="3"/>
  <c r="W122" i="3"/>
  <c r="D119" i="3"/>
  <c r="D122" i="3" s="1"/>
  <c r="Q122" i="3"/>
  <c r="AD122" i="3"/>
  <c r="F122" i="3"/>
  <c r="T122" i="3"/>
</calcChain>
</file>

<file path=xl/sharedStrings.xml><?xml version="1.0" encoding="utf-8"?>
<sst xmlns="http://schemas.openxmlformats.org/spreadsheetml/2006/main" count="331" uniqueCount="182">
  <si>
    <t>Фрукты свежие</t>
  </si>
  <si>
    <t>№ поСб</t>
  </si>
  <si>
    <t>Название</t>
  </si>
  <si>
    <t>Выход</t>
  </si>
  <si>
    <t>Мясо</t>
  </si>
  <si>
    <t>Птица</t>
  </si>
  <si>
    <t>Рыба</t>
  </si>
  <si>
    <t>Яйцо</t>
  </si>
  <si>
    <t>Картофель</t>
  </si>
  <si>
    <t>Хлеб ржан</t>
  </si>
  <si>
    <t>Хлеб пшенич</t>
  </si>
  <si>
    <t>Крупы, бобовые</t>
  </si>
  <si>
    <t>Мука пшеничн</t>
  </si>
  <si>
    <t>Масло раст</t>
  </si>
  <si>
    <t>Чай</t>
  </si>
  <si>
    <t>Какао-порошок</t>
  </si>
  <si>
    <t>Сахар</t>
  </si>
  <si>
    <t>Дрожжи</t>
  </si>
  <si>
    <t>Масло слив</t>
  </si>
  <si>
    <t>Итого</t>
  </si>
  <si>
    <t>Отклонение (+/- 5 %)</t>
  </si>
  <si>
    <t>Наименование продуктов  </t>
  </si>
  <si>
    <t>Хлеб пшеничный            </t>
  </si>
  <si>
    <t>Мука пшеничная            </t>
  </si>
  <si>
    <t>Крупы, бобовые            </t>
  </si>
  <si>
    <t>Макаронные изделия        </t>
  </si>
  <si>
    <t>Картофель                  </t>
  </si>
  <si>
    <t>Сыр                       </t>
  </si>
  <si>
    <t>Масло сливочное           </t>
  </si>
  <si>
    <t>Масло растительное        </t>
  </si>
  <si>
    <t>Сахар &lt;***&gt;               </t>
  </si>
  <si>
    <t>Кондитерские изделия      </t>
  </si>
  <si>
    <t>Дрожжи хлебопекарные      </t>
  </si>
  <si>
    <t>Сметана (массовая доля жира не более 15%)   </t>
  </si>
  <si>
    <t>Сметана</t>
  </si>
  <si>
    <t>Сыр</t>
  </si>
  <si>
    <t>Макарон. издел</t>
  </si>
  <si>
    <t>Хлеб ржаной                </t>
  </si>
  <si>
    <t>7-11 лет</t>
  </si>
  <si>
    <t>Итого за сутки, нетто</t>
  </si>
  <si>
    <t>Сухофрукты</t>
  </si>
  <si>
    <t>Соки плодоовощные, напитки витаминизированные, в т.ч. инстантные</t>
  </si>
  <si>
    <t>Молоко (2,5 %, 3,5 % )</t>
  </si>
  <si>
    <t>Кисломолочная пищевая продукция</t>
  </si>
  <si>
    <t>Какао-порошок                     </t>
  </si>
  <si>
    <t>Кофейный напиток</t>
  </si>
  <si>
    <t>Соль  пищевая поваренная йодированная                     </t>
  </si>
  <si>
    <t>Специи</t>
  </si>
  <si>
    <t xml:space="preserve">Обед 35 % </t>
  </si>
  <si>
    <t>Завтрак 25 %</t>
  </si>
  <si>
    <t>Творог (м.д. жира не более 9 %)      </t>
  </si>
  <si>
    <t>на 1 день</t>
  </si>
  <si>
    <t xml:space="preserve">Овощи </t>
  </si>
  <si>
    <t>Кондит. изделия</t>
  </si>
  <si>
    <t>Соль йодир.</t>
  </si>
  <si>
    <t>Яйцо,  1 шт.      </t>
  </si>
  <si>
    <t>ИТОГО (меню фактически)</t>
  </si>
  <si>
    <t xml:space="preserve">Хлеб пшеничный </t>
  </si>
  <si>
    <t xml:space="preserve">Хлеб ржаной </t>
  </si>
  <si>
    <t xml:space="preserve">Молоко </t>
  </si>
  <si>
    <t>Кисломолочные</t>
  </si>
  <si>
    <t>Творог</t>
  </si>
  <si>
    <t>на 10 дней</t>
  </si>
  <si>
    <t>Борщ с капустой и картофелем</t>
  </si>
  <si>
    <t>№ рецептуры</t>
  </si>
  <si>
    <t>Наименование блюда</t>
  </si>
  <si>
    <t>Выход, г</t>
  </si>
  <si>
    <t>Пищевые вещества</t>
  </si>
  <si>
    <t>Энергетическая ценность</t>
  </si>
  <si>
    <t>Витамины</t>
  </si>
  <si>
    <t>Минеральные вещества</t>
  </si>
  <si>
    <t>Б</t>
  </si>
  <si>
    <t>Ж</t>
  </si>
  <si>
    <t>У</t>
  </si>
  <si>
    <t>В1</t>
  </si>
  <si>
    <t>В2</t>
  </si>
  <si>
    <t>С</t>
  </si>
  <si>
    <t>А</t>
  </si>
  <si>
    <t>Е</t>
  </si>
  <si>
    <t>Кальций (мг)</t>
  </si>
  <si>
    <t>Фосфор (мг)</t>
  </si>
  <si>
    <t>Магний (мг)</t>
  </si>
  <si>
    <t>Железо (мг)</t>
  </si>
  <si>
    <t>обед 35 %</t>
  </si>
  <si>
    <t>по СанПиН</t>
  </si>
  <si>
    <t>Овощи свежие, зелень</t>
  </si>
  <si>
    <t>Фрукты (плоды) свежие     </t>
  </si>
  <si>
    <t>Сухофрукты, в т.ч. шиповник</t>
  </si>
  <si>
    <t>Мясо жилованное 1-й категории</t>
  </si>
  <si>
    <t>Цыплята 1 категории потрошеные (куры 1 кат.)      </t>
  </si>
  <si>
    <t>Рыба-филе             </t>
  </si>
  <si>
    <t>Субпродукты (печень, язык, сердце) Колбасные изделия</t>
  </si>
  <si>
    <t>Цинк</t>
  </si>
  <si>
    <t>Йод</t>
  </si>
  <si>
    <t>завтрак 25 %</t>
  </si>
  <si>
    <t>Сок натуральный</t>
  </si>
  <si>
    <t xml:space="preserve"> </t>
  </si>
  <si>
    <t>кКал</t>
  </si>
  <si>
    <t>ИТОГО (норм. за 10 дней)</t>
  </si>
  <si>
    <t>Норма на 1 день  (обед 35 %)</t>
  </si>
  <si>
    <t>Среднее за 10 дней (фактич.)</t>
  </si>
  <si>
    <t>Итого за день по СанПиН</t>
  </si>
  <si>
    <t>Салат из квашенной капусты</t>
  </si>
  <si>
    <t>Крахмал</t>
  </si>
  <si>
    <t>Кукуруза отварная</t>
  </si>
  <si>
    <t>Горох овощной отварной</t>
  </si>
  <si>
    <t>Суп молочный с макаронными изделиями</t>
  </si>
  <si>
    <t>Салат из свёклы с огурцами солёными</t>
  </si>
  <si>
    <t>Шарлотка с яблоками</t>
  </si>
  <si>
    <t>Плоды или ягоды свежие</t>
  </si>
  <si>
    <t>*359</t>
  </si>
  <si>
    <t>Картофель в молоке</t>
  </si>
  <si>
    <t>Щи из квашенной капусты с картофелем</t>
  </si>
  <si>
    <t xml:space="preserve">Рассольник </t>
  </si>
  <si>
    <t>Л130</t>
  </si>
  <si>
    <t>Солянка домашняя</t>
  </si>
  <si>
    <t>Л 139</t>
  </si>
  <si>
    <t>Суп картофельный с бобовыми</t>
  </si>
  <si>
    <t>Омлет с колбасой или сосисками</t>
  </si>
  <si>
    <t>Суп с крупой и томатом</t>
  </si>
  <si>
    <t>Л150</t>
  </si>
  <si>
    <t>Д114</t>
  </si>
  <si>
    <t>Л386</t>
  </si>
  <si>
    <t>Рыба, запечённая под молочным соусом</t>
  </si>
  <si>
    <t>Л391</t>
  </si>
  <si>
    <t>Шницель рыбный натуральный</t>
  </si>
  <si>
    <t>Говядина в кисло-сладком соусе</t>
  </si>
  <si>
    <t>Каша вязкая (пшенная, или пшеничная, или овсяная)</t>
  </si>
  <si>
    <t>Рагу из птицы, кролика или субпродуктов</t>
  </si>
  <si>
    <t>Сыр порциями</t>
  </si>
  <si>
    <t xml:space="preserve">Шницель рыбный натуральный  </t>
  </si>
  <si>
    <t>Плов из говядины</t>
  </si>
  <si>
    <t>Л 443</t>
  </si>
  <si>
    <t>Л157</t>
  </si>
  <si>
    <t>Овощи натуральные  соленые (помидоры)</t>
  </si>
  <si>
    <t>Понедельник</t>
  </si>
  <si>
    <t>Вторник</t>
  </si>
  <si>
    <t>Среда</t>
  </si>
  <si>
    <t>Четверг</t>
  </si>
  <si>
    <t>Пятница</t>
  </si>
  <si>
    <t>Молоко кипяченое</t>
  </si>
  <si>
    <t>*414</t>
  </si>
  <si>
    <t>Пирог "Южный"</t>
  </si>
  <si>
    <t>Овощи натуральные  соленые (огурцы)</t>
  </si>
  <si>
    <t>Компот из ягод</t>
  </si>
  <si>
    <t>Мясо духовое (с картофелем и овощами)</t>
  </si>
  <si>
    <t>Компот из смеси сухофруктов</t>
  </si>
  <si>
    <t>Напиток из плодов шиповника</t>
  </si>
  <si>
    <t>Соус сладкий фруктовый</t>
  </si>
  <si>
    <t>Запеканка из творога</t>
  </si>
  <si>
    <t>Икра кабачковая</t>
  </si>
  <si>
    <t>Колбасн изделия</t>
  </si>
  <si>
    <t>Суп гороховый</t>
  </si>
  <si>
    <t>Кондитерское изделие</t>
  </si>
  <si>
    <t>Макароны отварные с овощами</t>
  </si>
  <si>
    <t>239 / 331</t>
  </si>
  <si>
    <t xml:space="preserve">Тефтели рыбные тушеные в соусе </t>
  </si>
  <si>
    <t>Котлеты рубленные из птицы (с маслом сливочным)</t>
  </si>
  <si>
    <t>Каша вязкая рисовая с морковью припущенной</t>
  </si>
  <si>
    <t>Картофель отварной (с маслом сливочным)</t>
  </si>
  <si>
    <t>Сок</t>
  </si>
  <si>
    <t>Борщ с картофелем (со сметаной)</t>
  </si>
  <si>
    <t>Суп из овощей (со сметаной)</t>
  </si>
  <si>
    <t>Кисломолочный продукт (ряженка 3,2 % жирности)</t>
  </si>
  <si>
    <t>Кисломолочный продукт (кефир 2,5 % жирности)</t>
  </si>
  <si>
    <t>Кисломолочный продукт (йогурт 2,5 % жирности)</t>
  </si>
  <si>
    <t>Сок плодовый или ягодный натуральный</t>
  </si>
  <si>
    <t>Щи из свежей капусты с картофелем</t>
  </si>
  <si>
    <t>Л442</t>
  </si>
  <si>
    <t>Л443</t>
  </si>
  <si>
    <t xml:space="preserve">Плов из говядины </t>
  </si>
  <si>
    <t xml:space="preserve">Компот из ягод </t>
  </si>
  <si>
    <t>Кондитерское изделие (печенье сахарное)</t>
  </si>
  <si>
    <t>*</t>
  </si>
  <si>
    <t xml:space="preserve">Суп гороховый </t>
  </si>
  <si>
    <t>Л</t>
  </si>
  <si>
    <t>Примерное меню обедов для обучающихся 1-4-х классов  (Зима- Весна)</t>
  </si>
  <si>
    <t>Каша гречневая</t>
  </si>
  <si>
    <t>Каша пшеничная с овощами</t>
  </si>
  <si>
    <t xml:space="preserve">Салат из белокачанной капусты с яблоком </t>
  </si>
  <si>
    <t xml:space="preserve">Салат из свёклы с сыром и чесноком </t>
  </si>
  <si>
    <t>Сыр голландский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</si>
</sst>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12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79BE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78">
    <xf numFmtId="0" fontId="0" fillId="0" borderId="0" xfId="0"/>
    <xf numFmtId="2" fontId="2" fillId="0" borderId="1" xfId="0" applyNumberFormat="1" applyFont="1" applyBorder="1"/>
    <xf numFmtId="1" fontId="2" fillId="0" borderId="1" xfId="0" applyNumberFormat="1" applyFont="1" applyBorder="1"/>
    <xf numFmtId="2" fontId="2" fillId="0" borderId="1" xfId="0" applyNumberFormat="1" applyFont="1" applyBorder="1" applyAlignment="1">
      <alignment horizontal="right"/>
    </xf>
    <xf numFmtId="2" fontId="1" fillId="8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0" fontId="4" fillId="3" borderId="0" xfId="0" applyFont="1" applyFill="1"/>
    <xf numFmtId="0" fontId="3" fillId="6" borderId="0" xfId="0" applyFont="1" applyFill="1"/>
    <xf numFmtId="2" fontId="2" fillId="5" borderId="1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2" fontId="2" fillId="3" borderId="1" xfId="0" applyNumberFormat="1" applyFont="1" applyFill="1" applyBorder="1"/>
    <xf numFmtId="0" fontId="2" fillId="0" borderId="1" xfId="0" applyFont="1" applyBorder="1"/>
    <xf numFmtId="2" fontId="2" fillId="0" borderId="1" xfId="0" applyNumberFormat="1" applyFont="1" applyBorder="1" applyAlignment="1">
      <alignment horizontal="left"/>
    </xf>
    <xf numFmtId="0" fontId="2" fillId="3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indent="1"/>
    </xf>
    <xf numFmtId="0" fontId="2" fillId="3" borderId="2" xfId="0" applyFont="1" applyFill="1" applyBorder="1"/>
    <xf numFmtId="0" fontId="2" fillId="2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 inden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indent="1"/>
    </xf>
    <xf numFmtId="0" fontId="2" fillId="3" borderId="0" xfId="0" applyFont="1" applyFill="1"/>
    <xf numFmtId="0" fontId="1" fillId="3" borderId="3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 indent="1"/>
    </xf>
    <xf numFmtId="0" fontId="2" fillId="0" borderId="0" xfId="0" applyFont="1"/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2" fontId="1" fillId="3" borderId="1" xfId="0" applyNumberFormat="1" applyFont="1" applyFill="1" applyBorder="1"/>
    <xf numFmtId="0" fontId="2" fillId="5" borderId="1" xfId="0" applyFont="1" applyFill="1" applyBorder="1"/>
    <xf numFmtId="0" fontId="2" fillId="0" borderId="1" xfId="0" applyFont="1" applyBorder="1" applyAlignment="1">
      <alignment horizontal="center"/>
    </xf>
    <xf numFmtId="2" fontId="2" fillId="3" borderId="0" xfId="0" applyNumberFormat="1" applyFont="1" applyFill="1"/>
    <xf numFmtId="2" fontId="2" fillId="0" borderId="0" xfId="0" applyNumberFormat="1" applyFont="1"/>
    <xf numFmtId="0" fontId="2" fillId="3" borderId="6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3" borderId="1" xfId="0" applyFont="1" applyFill="1" applyBorder="1"/>
    <xf numFmtId="2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4" fillId="3" borderId="0" xfId="0" applyFont="1" applyFill="1" applyBorder="1" applyAlignment="1">
      <alignment horizontal="center"/>
    </xf>
    <xf numFmtId="0" fontId="4" fillId="3" borderId="2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/>
    <xf numFmtId="0" fontId="4" fillId="2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 indent="1"/>
    </xf>
    <xf numFmtId="0" fontId="3" fillId="3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indent="1"/>
    </xf>
    <xf numFmtId="0" fontId="4" fillId="3" borderId="5" xfId="0" applyFont="1" applyFill="1" applyBorder="1"/>
    <xf numFmtId="0" fontId="4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 indent="1"/>
    </xf>
    <xf numFmtId="0" fontId="4" fillId="3" borderId="0" xfId="0" applyFont="1" applyFill="1" applyBorder="1"/>
    <xf numFmtId="2" fontId="4" fillId="0" borderId="1" xfId="0" applyNumberFormat="1" applyFont="1" applyBorder="1"/>
    <xf numFmtId="0" fontId="7" fillId="0" borderId="0" xfId="0" applyFont="1"/>
    <xf numFmtId="0" fontId="4" fillId="0" borderId="0" xfId="0" applyFont="1"/>
    <xf numFmtId="0" fontId="7" fillId="3" borderId="0" xfId="0" applyFont="1" applyFill="1"/>
    <xf numFmtId="0" fontId="6" fillId="0" borderId="0" xfId="0" applyFont="1"/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wrapText="1"/>
    </xf>
    <xf numFmtId="0" fontId="3" fillId="5" borderId="0" xfId="0" applyFont="1" applyFill="1" applyAlignment="1">
      <alignment wrapText="1"/>
    </xf>
    <xf numFmtId="0" fontId="4" fillId="4" borderId="1" xfId="0" applyFont="1" applyFill="1" applyBorder="1"/>
    <xf numFmtId="0" fontId="4" fillId="4" borderId="0" xfId="0" applyFont="1" applyFill="1"/>
    <xf numFmtId="0" fontId="4" fillId="0" borderId="0" xfId="0" applyFont="1" applyFill="1"/>
    <xf numFmtId="2" fontId="4" fillId="0" borderId="1" xfId="0" applyNumberFormat="1" applyFont="1" applyFill="1" applyBorder="1"/>
    <xf numFmtId="0" fontId="3" fillId="2" borderId="0" xfId="0" applyFont="1" applyFill="1"/>
    <xf numFmtId="0" fontId="4" fillId="0" borderId="1" xfId="0" applyFont="1" applyBorder="1" applyAlignment="1">
      <alignment horizontal="center"/>
    </xf>
    <xf numFmtId="2" fontId="4" fillId="3" borderId="0" xfId="0" applyNumberFormat="1" applyFont="1" applyFill="1"/>
    <xf numFmtId="2" fontId="4" fillId="0" borderId="0" xfId="0" applyNumberFormat="1" applyFont="1"/>
    <xf numFmtId="0" fontId="4" fillId="2" borderId="0" xfId="0" applyFont="1" applyFill="1"/>
    <xf numFmtId="0" fontId="3" fillId="3" borderId="1" xfId="0" applyFont="1" applyFill="1" applyBorder="1"/>
    <xf numFmtId="0" fontId="3" fillId="3" borderId="0" xfId="0" applyFont="1" applyFill="1"/>
    <xf numFmtId="0" fontId="4" fillId="4" borderId="5" xfId="0" applyFont="1" applyFill="1" applyBorder="1"/>
    <xf numFmtId="0" fontId="4" fillId="3" borderId="3" xfId="0" applyFont="1" applyFill="1" applyBorder="1"/>
    <xf numFmtId="0" fontId="3" fillId="4" borderId="9" xfId="0" applyFont="1" applyFill="1" applyBorder="1"/>
    <xf numFmtId="0" fontId="4" fillId="3" borderId="6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2" fontId="3" fillId="6" borderId="1" xfId="0" applyNumberFormat="1" applyFont="1" applyFill="1" applyBorder="1"/>
    <xf numFmtId="0" fontId="4" fillId="0" borderId="1" xfId="0" applyFont="1" applyBorder="1"/>
    <xf numFmtId="0" fontId="4" fillId="3" borderId="5" xfId="0" applyFont="1" applyFill="1" applyBorder="1" applyAlignment="1">
      <alignment horizontal="center"/>
    </xf>
    <xf numFmtId="0" fontId="4" fillId="7" borderId="5" xfId="0" applyFont="1" applyFill="1" applyBorder="1" applyAlignment="1">
      <alignment vertical="center" wrapText="1"/>
    </xf>
    <xf numFmtId="0" fontId="4" fillId="0" borderId="5" xfId="0" applyFont="1" applyBorder="1"/>
    <xf numFmtId="0" fontId="4" fillId="3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2" fontId="2" fillId="8" borderId="1" xfId="0" applyNumberFormat="1" applyFont="1" applyFill="1" applyBorder="1"/>
    <xf numFmtId="0" fontId="2" fillId="5" borderId="3" xfId="0" applyFont="1" applyFill="1" applyBorder="1" applyAlignment="1">
      <alignment horizontal="center"/>
    </xf>
    <xf numFmtId="2" fontId="2" fillId="5" borderId="1" xfId="0" applyNumberFormat="1" applyFont="1" applyFill="1" applyBorder="1"/>
    <xf numFmtId="0" fontId="2" fillId="0" borderId="3" xfId="0" applyFont="1" applyBorder="1"/>
    <xf numFmtId="2" fontId="2" fillId="2" borderId="1" xfId="0" applyNumberFormat="1" applyFont="1" applyFill="1" applyBorder="1"/>
    <xf numFmtId="0" fontId="2" fillId="3" borderId="0" xfId="0" applyFont="1" applyFill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/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4" fontId="2" fillId="3" borderId="1" xfId="1" applyFont="1" applyFill="1" applyBorder="1"/>
    <xf numFmtId="0" fontId="2" fillId="0" borderId="1" xfId="0" applyFont="1" applyBorder="1" applyAlignment="1">
      <alignment horizontal="right"/>
    </xf>
    <xf numFmtId="2" fontId="2" fillId="3" borderId="1" xfId="0" applyNumberFormat="1" applyFont="1" applyFill="1" applyBorder="1" applyAlignment="1">
      <alignment horizontal="left"/>
    </xf>
    <xf numFmtId="0" fontId="2" fillId="9" borderId="1" xfId="0" applyFont="1" applyFill="1" applyBorder="1" applyAlignment="1">
      <alignment horizontal="right"/>
    </xf>
    <xf numFmtId="2" fontId="1" fillId="9" borderId="1" xfId="0" applyNumberFormat="1" applyFont="1" applyFill="1" applyBorder="1"/>
    <xf numFmtId="2" fontId="8" fillId="3" borderId="4" xfId="0" applyNumberFormat="1" applyFont="1" applyFill="1" applyBorder="1" applyAlignment="1">
      <alignment horizontal="left" vertical="center"/>
    </xf>
    <xf numFmtId="2" fontId="8" fillId="0" borderId="8" xfId="0" applyNumberFormat="1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2" fontId="9" fillId="0" borderId="0" xfId="0" applyNumberFormat="1" applyFont="1"/>
    <xf numFmtId="0" fontId="9" fillId="0" borderId="0" xfId="0" applyFont="1"/>
    <xf numFmtId="0" fontId="10" fillId="0" borderId="0" xfId="0" applyFont="1"/>
    <xf numFmtId="1" fontId="1" fillId="0" borderId="1" xfId="0" applyNumberFormat="1" applyFont="1" applyBorder="1"/>
    <xf numFmtId="0" fontId="1" fillId="9" borderId="1" xfId="0" applyFont="1" applyFill="1" applyBorder="1" applyAlignment="1">
      <alignment horizontal="right"/>
    </xf>
    <xf numFmtId="0" fontId="1" fillId="0" borderId="0" xfId="0" applyFont="1"/>
    <xf numFmtId="2" fontId="2" fillId="9" borderId="1" xfId="0" applyNumberFormat="1" applyFont="1" applyFill="1" applyBorder="1" applyAlignment="1">
      <alignment horizontal="left"/>
    </xf>
    <xf numFmtId="0" fontId="11" fillId="0" borderId="0" xfId="0" applyFont="1"/>
    <xf numFmtId="2" fontId="2" fillId="9" borderId="1" xfId="0" applyNumberFormat="1" applyFont="1" applyFill="1" applyBorder="1" applyAlignment="1">
      <alignment horizontal="right"/>
    </xf>
    <xf numFmtId="2" fontId="2" fillId="0" borderId="4" xfId="0" applyNumberFormat="1" applyFont="1" applyBorder="1"/>
    <xf numFmtId="2" fontId="1" fillId="9" borderId="1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4" fillId="3" borderId="7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0" fontId="4" fillId="3" borderId="3" xfId="0" applyFont="1" applyFill="1" applyBorder="1" applyAlignment="1"/>
    <xf numFmtId="2" fontId="2" fillId="3" borderId="1" xfId="0" applyNumberFormat="1" applyFont="1" applyFill="1" applyBorder="1" applyAlignment="1">
      <alignment horizontal="right" vertical="center"/>
    </xf>
    <xf numFmtId="0" fontId="2" fillId="3" borderId="4" xfId="0" applyFont="1" applyFill="1" applyBorder="1"/>
    <xf numFmtId="0" fontId="2" fillId="3" borderId="1" xfId="0" applyFont="1" applyFill="1" applyBorder="1" applyAlignment="1">
      <alignment horizontal="left" wrapText="1"/>
    </xf>
    <xf numFmtId="0" fontId="2" fillId="3" borderId="7" xfId="0" applyFont="1" applyFill="1" applyBorder="1" applyAlignment="1">
      <alignment horizontal="left" wrapText="1"/>
    </xf>
    <xf numFmtId="2" fontId="2" fillId="3" borderId="1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wrapText="1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2" fontId="1" fillId="3" borderId="5" xfId="0" applyNumberFormat="1" applyFont="1" applyFill="1" applyBorder="1" applyAlignment="1">
      <alignment horizontal="center" vertical="top" wrapText="1"/>
    </xf>
    <xf numFmtId="2" fontId="1" fillId="3" borderId="2" xfId="0" applyNumberFormat="1" applyFont="1" applyFill="1" applyBorder="1" applyAlignment="1">
      <alignment horizontal="center" vertical="top" wrapText="1"/>
    </xf>
    <xf numFmtId="1" fontId="1" fillId="8" borderId="5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 wrapText="1"/>
    </xf>
    <xf numFmtId="2" fontId="1" fillId="8" borderId="5" xfId="0" applyNumberFormat="1" applyFont="1" applyFill="1" applyBorder="1" applyAlignment="1">
      <alignment horizontal="center" vertical="center" wrapText="1"/>
    </xf>
    <xf numFmtId="2" fontId="1" fillId="8" borderId="2" xfId="0" applyNumberFormat="1" applyFont="1" applyFill="1" applyBorder="1" applyAlignment="1">
      <alignment horizontal="center" vertical="center" wrapText="1"/>
    </xf>
    <xf numFmtId="2" fontId="1" fillId="5" borderId="4" xfId="0" applyNumberFormat="1" applyFont="1" applyFill="1" applyBorder="1" applyAlignment="1">
      <alignment horizontal="center"/>
    </xf>
    <xf numFmtId="2" fontId="1" fillId="5" borderId="8" xfId="0" applyNumberFormat="1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2" fontId="1" fillId="8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/>
    <xf numFmtId="1" fontId="4" fillId="3" borderId="1" xfId="0" applyNumberFormat="1" applyFont="1" applyFill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colors>
    <mruColors>
      <color rgb="FFD79BEF"/>
      <color rgb="FF32D70B"/>
      <color rgb="FF60F53D"/>
      <color rgb="FFF36447"/>
      <color rgb="FF9A57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540"/>
  <sheetViews>
    <sheetView tabSelected="1" zoomScaleNormal="100" workbookViewId="0">
      <pane ySplit="2" topLeftCell="A3" activePane="bottomLeft" state="frozen"/>
      <selection pane="bottomLeft" activeCell="F99" sqref="F99"/>
    </sheetView>
  </sheetViews>
  <sheetFormatPr defaultColWidth="5.109375" defaultRowHeight="10.5" customHeight="1" x14ac:dyDescent="0.25"/>
  <cols>
    <col min="1" max="1" width="5.21875" style="51" bestFit="1" customWidth="1"/>
    <col min="2" max="2" width="30.5546875" style="42" customWidth="1"/>
    <col min="3" max="17" width="5.21875" style="42" bestFit="1" customWidth="1"/>
    <col min="18" max="18" width="6.33203125" style="42" customWidth="1"/>
    <col min="19" max="19" width="5.21875" style="42" bestFit="1" customWidth="1"/>
    <col min="20" max="20" width="6" style="42" customWidth="1"/>
    <col min="21" max="21" width="5.88671875" style="42" customWidth="1"/>
    <col min="22" max="27" width="5.21875" style="42" bestFit="1" customWidth="1"/>
    <col min="28" max="28" width="5.6640625" style="42" customWidth="1"/>
    <col min="29" max="29" width="6.21875" style="42" bestFit="1" customWidth="1"/>
    <col min="30" max="30" width="5.33203125" style="42" bestFit="1" customWidth="1"/>
    <col min="31" max="32" width="6.21875" style="42" bestFit="1" customWidth="1"/>
    <col min="33" max="33" width="7" style="6" bestFit="1" customWidth="1"/>
    <col min="34" max="34" width="5.21875" style="6" bestFit="1" customWidth="1"/>
    <col min="35" max="16384" width="5.109375" style="6"/>
  </cols>
  <sheetData>
    <row r="1" spans="1:33" ht="17.399999999999999" customHeight="1" x14ac:dyDescent="0.25"/>
    <row r="2" spans="1:33" s="80" customFormat="1" ht="35.25" customHeight="1" x14ac:dyDescent="0.25">
      <c r="A2" s="76" t="s">
        <v>1</v>
      </c>
      <c r="B2" s="77" t="s">
        <v>2</v>
      </c>
      <c r="C2" s="78" t="s">
        <v>3</v>
      </c>
      <c r="D2" s="78" t="s">
        <v>9</v>
      </c>
      <c r="E2" s="78" t="s">
        <v>10</v>
      </c>
      <c r="F2" s="78" t="s">
        <v>12</v>
      </c>
      <c r="G2" s="78" t="s">
        <v>11</v>
      </c>
      <c r="H2" s="78" t="s">
        <v>36</v>
      </c>
      <c r="I2" s="78" t="s">
        <v>8</v>
      </c>
      <c r="J2" s="78" t="s">
        <v>52</v>
      </c>
      <c r="K2" s="78" t="s">
        <v>0</v>
      </c>
      <c r="L2" s="78" t="s">
        <v>40</v>
      </c>
      <c r="M2" s="78" t="s">
        <v>160</v>
      </c>
      <c r="N2" s="78" t="s">
        <v>4</v>
      </c>
      <c r="O2" s="78" t="s">
        <v>151</v>
      </c>
      <c r="P2" s="78" t="s">
        <v>5</v>
      </c>
      <c r="Q2" s="78" t="s">
        <v>6</v>
      </c>
      <c r="R2" s="78" t="s">
        <v>59</v>
      </c>
      <c r="S2" s="78" t="s">
        <v>60</v>
      </c>
      <c r="T2" s="78" t="s">
        <v>61</v>
      </c>
      <c r="U2" s="78" t="s">
        <v>35</v>
      </c>
      <c r="V2" s="78" t="s">
        <v>34</v>
      </c>
      <c r="W2" s="78" t="s">
        <v>18</v>
      </c>
      <c r="X2" s="78" t="s">
        <v>13</v>
      </c>
      <c r="Y2" s="78" t="s">
        <v>7</v>
      </c>
      <c r="Z2" s="78" t="s">
        <v>16</v>
      </c>
      <c r="AA2" s="78" t="s">
        <v>53</v>
      </c>
      <c r="AB2" s="78" t="s">
        <v>14</v>
      </c>
      <c r="AC2" s="78" t="s">
        <v>15</v>
      </c>
      <c r="AD2" s="78" t="s">
        <v>17</v>
      </c>
      <c r="AE2" s="78" t="s">
        <v>54</v>
      </c>
      <c r="AF2" s="79" t="s">
        <v>47</v>
      </c>
      <c r="AG2" s="79" t="s">
        <v>103</v>
      </c>
    </row>
    <row r="3" spans="1:33" s="82" customFormat="1" ht="10.5" customHeight="1" x14ac:dyDescent="0.25">
      <c r="A3" s="157" t="s">
        <v>135</v>
      </c>
      <c r="B3" s="158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42"/>
    </row>
    <row r="4" spans="1:33" s="91" customFormat="1" ht="10.5" customHeight="1" x14ac:dyDescent="0.25">
      <c r="A4" s="67"/>
      <c r="B4" s="145" t="s">
        <v>150</v>
      </c>
      <c r="C4" s="42">
        <v>60</v>
      </c>
      <c r="D4" s="42"/>
      <c r="E4" s="42"/>
      <c r="F4" s="42"/>
      <c r="G4" s="42"/>
      <c r="H4" s="42"/>
      <c r="I4" s="42"/>
      <c r="J4" s="42">
        <v>60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90"/>
    </row>
    <row r="5" spans="1:33" s="83" customFormat="1" ht="10.5" customHeight="1" x14ac:dyDescent="0.25">
      <c r="A5" s="40" t="s">
        <v>120</v>
      </c>
      <c r="B5" s="42" t="s">
        <v>119</v>
      </c>
      <c r="C5" s="41">
        <v>200</v>
      </c>
      <c r="D5" s="41"/>
      <c r="E5" s="41"/>
      <c r="F5" s="41"/>
      <c r="G5" s="41">
        <v>20</v>
      </c>
      <c r="H5" s="41"/>
      <c r="I5" s="41"/>
      <c r="J5" s="84">
        <f>8+6</f>
        <v>14</v>
      </c>
      <c r="K5" s="41"/>
      <c r="L5" s="41"/>
      <c r="M5" s="42"/>
      <c r="N5" s="41"/>
      <c r="O5" s="41"/>
      <c r="P5" s="41"/>
      <c r="Q5" s="41"/>
      <c r="R5" s="41"/>
      <c r="S5" s="41"/>
      <c r="T5" s="41"/>
      <c r="U5" s="41"/>
      <c r="V5" s="41"/>
      <c r="W5" s="41">
        <v>5</v>
      </c>
      <c r="X5" s="41"/>
      <c r="Y5" s="41"/>
      <c r="Z5" s="41"/>
      <c r="AA5" s="41"/>
      <c r="AB5" s="41"/>
      <c r="AC5" s="41"/>
      <c r="AD5" s="41"/>
      <c r="AE5" s="41"/>
      <c r="AF5" s="41"/>
      <c r="AG5" s="42"/>
    </row>
    <row r="6" spans="1:33" ht="10.5" customHeight="1" x14ac:dyDescent="0.25">
      <c r="A6" s="51">
        <v>212</v>
      </c>
      <c r="B6" s="42" t="s">
        <v>118</v>
      </c>
      <c r="C6" s="42">
        <v>180</v>
      </c>
      <c r="O6" s="42">
        <v>32</v>
      </c>
      <c r="R6" s="42">
        <v>35</v>
      </c>
      <c r="W6" s="42">
        <v>8</v>
      </c>
      <c r="Y6" s="42">
        <v>120</v>
      </c>
      <c r="AG6" s="42"/>
    </row>
    <row r="7" spans="1:33" s="83" customFormat="1" ht="10.5" customHeight="1" x14ac:dyDescent="0.25">
      <c r="A7" s="40"/>
      <c r="B7" s="42" t="s">
        <v>165</v>
      </c>
      <c r="C7" s="41">
        <v>115</v>
      </c>
      <c r="D7" s="41"/>
      <c r="E7" s="41"/>
      <c r="F7" s="41"/>
      <c r="G7" s="41"/>
      <c r="H7" s="41"/>
      <c r="I7" s="41"/>
      <c r="J7" s="41"/>
      <c r="K7" s="41"/>
      <c r="L7" s="41"/>
      <c r="M7" s="42"/>
      <c r="N7" s="41"/>
      <c r="O7" s="41"/>
      <c r="P7" s="41"/>
      <c r="Q7" s="41"/>
      <c r="R7" s="41"/>
      <c r="S7" s="41">
        <v>115</v>
      </c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</row>
    <row r="8" spans="1:33" s="83" customFormat="1" ht="10.5" customHeight="1" x14ac:dyDescent="0.25">
      <c r="A8" s="55">
        <v>389</v>
      </c>
      <c r="B8" s="42" t="s">
        <v>95</v>
      </c>
      <c r="C8" s="41">
        <v>200</v>
      </c>
      <c r="D8" s="41"/>
      <c r="E8" s="41"/>
      <c r="F8" s="41"/>
      <c r="G8" s="41"/>
      <c r="H8" s="41"/>
      <c r="I8" s="41"/>
      <c r="J8" s="41"/>
      <c r="K8" s="41"/>
      <c r="L8" s="41"/>
      <c r="M8" s="42">
        <v>200</v>
      </c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2"/>
    </row>
    <row r="9" spans="1:33" s="83" customFormat="1" ht="10.5" customHeight="1" x14ac:dyDescent="0.25">
      <c r="A9" s="40"/>
      <c r="B9" s="42" t="s">
        <v>57</v>
      </c>
      <c r="C9" s="41">
        <v>40</v>
      </c>
      <c r="D9" s="41"/>
      <c r="E9" s="41">
        <v>40</v>
      </c>
      <c r="F9" s="41"/>
      <c r="G9" s="41"/>
      <c r="H9" s="41"/>
      <c r="I9" s="41"/>
      <c r="J9" s="41"/>
      <c r="K9" s="41"/>
      <c r="L9" s="41"/>
      <c r="M9" s="42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2"/>
    </row>
    <row r="10" spans="1:33" s="83" customFormat="1" ht="10.5" customHeight="1" x14ac:dyDescent="0.25">
      <c r="A10" s="40"/>
      <c r="B10" s="42" t="s">
        <v>58</v>
      </c>
      <c r="C10" s="41">
        <v>40</v>
      </c>
      <c r="D10" s="41">
        <v>40</v>
      </c>
      <c r="E10" s="41"/>
      <c r="F10" s="41"/>
      <c r="G10" s="41"/>
      <c r="H10" s="41"/>
      <c r="I10" s="41"/>
      <c r="J10" s="41"/>
      <c r="K10" s="41"/>
      <c r="L10" s="41"/>
      <c r="M10" s="42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</row>
    <row r="11" spans="1:33" s="83" customFormat="1" ht="10.5" customHeight="1" x14ac:dyDescent="0.25">
      <c r="A11" s="40"/>
      <c r="B11" s="42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</row>
    <row r="12" spans="1:33" s="85" customFormat="1" ht="10.5" customHeight="1" x14ac:dyDescent="0.25">
      <c r="A12" s="46"/>
      <c r="B12" s="47" t="s">
        <v>19</v>
      </c>
      <c r="C12" s="48">
        <f>SUM(C4:C11)</f>
        <v>835</v>
      </c>
      <c r="D12" s="48">
        <f t="shared" ref="D12:AG12" si="0">SUM(D4:D11)</f>
        <v>40</v>
      </c>
      <c r="E12" s="48">
        <f t="shared" si="0"/>
        <v>40</v>
      </c>
      <c r="F12" s="48">
        <f t="shared" si="0"/>
        <v>0</v>
      </c>
      <c r="G12" s="48">
        <f t="shared" si="0"/>
        <v>20</v>
      </c>
      <c r="H12" s="48">
        <f t="shared" si="0"/>
        <v>0</v>
      </c>
      <c r="I12" s="48">
        <f t="shared" si="0"/>
        <v>0</v>
      </c>
      <c r="J12" s="48">
        <f t="shared" si="0"/>
        <v>74</v>
      </c>
      <c r="K12" s="48">
        <f t="shared" si="0"/>
        <v>0</v>
      </c>
      <c r="L12" s="48">
        <f t="shared" si="0"/>
        <v>0</v>
      </c>
      <c r="M12" s="48">
        <f t="shared" si="0"/>
        <v>200</v>
      </c>
      <c r="N12" s="48">
        <f t="shared" si="0"/>
        <v>0</v>
      </c>
      <c r="O12" s="48">
        <f t="shared" si="0"/>
        <v>32</v>
      </c>
      <c r="P12" s="48">
        <f t="shared" si="0"/>
        <v>0</v>
      </c>
      <c r="Q12" s="48">
        <f t="shared" si="0"/>
        <v>0</v>
      </c>
      <c r="R12" s="48">
        <f t="shared" si="0"/>
        <v>35</v>
      </c>
      <c r="S12" s="48">
        <f t="shared" si="0"/>
        <v>115</v>
      </c>
      <c r="T12" s="48">
        <f t="shared" si="0"/>
        <v>0</v>
      </c>
      <c r="U12" s="48">
        <f t="shared" si="0"/>
        <v>0</v>
      </c>
      <c r="V12" s="48">
        <f t="shared" si="0"/>
        <v>0</v>
      </c>
      <c r="W12" s="48">
        <f t="shared" si="0"/>
        <v>13</v>
      </c>
      <c r="X12" s="48">
        <f t="shared" si="0"/>
        <v>0</v>
      </c>
      <c r="Y12" s="48">
        <f t="shared" si="0"/>
        <v>120</v>
      </c>
      <c r="Z12" s="48">
        <f t="shared" si="0"/>
        <v>0</v>
      </c>
      <c r="AA12" s="48">
        <f t="shared" si="0"/>
        <v>0</v>
      </c>
      <c r="AB12" s="48">
        <f t="shared" si="0"/>
        <v>0</v>
      </c>
      <c r="AC12" s="48">
        <f t="shared" si="0"/>
        <v>0</v>
      </c>
      <c r="AD12" s="48">
        <f t="shared" si="0"/>
        <v>0</v>
      </c>
      <c r="AE12" s="48">
        <f t="shared" si="0"/>
        <v>0</v>
      </c>
      <c r="AF12" s="48">
        <f t="shared" si="0"/>
        <v>0</v>
      </c>
      <c r="AG12" s="48">
        <f t="shared" si="0"/>
        <v>0</v>
      </c>
    </row>
    <row r="13" spans="1:33" ht="10.5" customHeight="1" x14ac:dyDescent="0.25">
      <c r="AG13" s="42"/>
    </row>
    <row r="14" spans="1:33" s="82" customFormat="1" ht="10.5" customHeight="1" x14ac:dyDescent="0.25">
      <c r="A14" s="157" t="s">
        <v>136</v>
      </c>
      <c r="B14" s="158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</row>
    <row r="15" spans="1:33" s="83" customFormat="1" ht="10.5" customHeight="1" x14ac:dyDescent="0.25">
      <c r="A15" s="40">
        <v>70</v>
      </c>
      <c r="B15" s="42" t="s">
        <v>134</v>
      </c>
      <c r="C15" s="41">
        <v>60</v>
      </c>
      <c r="D15" s="41"/>
      <c r="E15" s="41"/>
      <c r="F15" s="41"/>
      <c r="G15" s="41"/>
      <c r="H15" s="41"/>
      <c r="I15" s="41"/>
      <c r="J15" s="142">
        <v>60</v>
      </c>
      <c r="K15" s="41"/>
      <c r="L15" s="41"/>
      <c r="M15" s="42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</row>
    <row r="16" spans="1:33" s="83" customFormat="1" ht="10.5" customHeight="1" x14ac:dyDescent="0.25">
      <c r="A16" s="40">
        <v>92</v>
      </c>
      <c r="B16" s="42" t="s">
        <v>112</v>
      </c>
      <c r="C16" s="41">
        <v>200</v>
      </c>
      <c r="D16" s="41"/>
      <c r="E16" s="41"/>
      <c r="F16" s="41"/>
      <c r="G16" s="41"/>
      <c r="H16" s="41"/>
      <c r="I16" s="142">
        <f>25*0.8</f>
        <v>20</v>
      </c>
      <c r="J16" s="142">
        <f>(20+4+4+1)*2</f>
        <v>58</v>
      </c>
      <c r="K16" s="41"/>
      <c r="L16" s="41"/>
      <c r="M16" s="42"/>
      <c r="N16" s="41"/>
      <c r="O16" s="41"/>
      <c r="P16" s="41"/>
      <c r="Q16" s="41"/>
      <c r="R16" s="41"/>
      <c r="S16" s="41"/>
      <c r="T16" s="41"/>
      <c r="U16" s="41"/>
      <c r="V16" s="41"/>
      <c r="W16" s="41">
        <v>5</v>
      </c>
      <c r="X16" s="41"/>
      <c r="Y16" s="41"/>
      <c r="Z16" s="41"/>
      <c r="AA16" s="41"/>
      <c r="AB16" s="41"/>
      <c r="AC16" s="41"/>
      <c r="AD16" s="41"/>
      <c r="AE16" s="41"/>
      <c r="AF16" s="41"/>
      <c r="AG16" s="41"/>
    </row>
    <row r="17" spans="1:97" ht="10.5" customHeight="1" x14ac:dyDescent="0.25">
      <c r="A17" s="51">
        <v>442</v>
      </c>
      <c r="B17" s="42" t="s">
        <v>126</v>
      </c>
      <c r="C17" s="42">
        <v>80</v>
      </c>
      <c r="D17" s="42">
        <v>5</v>
      </c>
      <c r="F17" s="42">
        <v>2</v>
      </c>
      <c r="J17" s="42">
        <f>10+4</f>
        <v>14</v>
      </c>
      <c r="N17" s="42">
        <v>79</v>
      </c>
      <c r="W17" s="42">
        <v>5</v>
      </c>
      <c r="Z17" s="42">
        <v>2</v>
      </c>
      <c r="AG17" s="42"/>
    </row>
    <row r="18" spans="1:97" ht="10.5" customHeight="1" x14ac:dyDescent="0.25">
      <c r="B18" s="42" t="s">
        <v>127</v>
      </c>
      <c r="C18" s="42">
        <v>150</v>
      </c>
      <c r="G18" s="42">
        <v>36</v>
      </c>
      <c r="W18" s="42">
        <v>5</v>
      </c>
      <c r="AG18" s="42"/>
    </row>
    <row r="19" spans="1:97" s="83" customFormat="1" ht="10.5" customHeight="1" x14ac:dyDescent="0.25">
      <c r="A19" s="40">
        <v>338</v>
      </c>
      <c r="B19" s="42" t="s">
        <v>109</v>
      </c>
      <c r="C19" s="41">
        <v>180</v>
      </c>
      <c r="D19" s="41"/>
      <c r="E19" s="41"/>
      <c r="F19" s="41"/>
      <c r="G19" s="41"/>
      <c r="H19" s="41"/>
      <c r="I19" s="41"/>
      <c r="J19" s="41"/>
      <c r="K19" s="41">
        <v>180</v>
      </c>
      <c r="L19" s="41"/>
      <c r="M19" s="42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2"/>
    </row>
    <row r="20" spans="1:97" s="83" customFormat="1" ht="10.5" customHeight="1" x14ac:dyDescent="0.25">
      <c r="A20" s="55">
        <v>389</v>
      </c>
      <c r="B20" s="42" t="s">
        <v>95</v>
      </c>
      <c r="C20" s="41">
        <v>200</v>
      </c>
      <c r="D20" s="41"/>
      <c r="E20" s="41"/>
      <c r="F20" s="41"/>
      <c r="G20" s="41"/>
      <c r="H20" s="41"/>
      <c r="I20" s="41"/>
      <c r="J20" s="41"/>
      <c r="K20" s="41"/>
      <c r="L20" s="41"/>
      <c r="M20" s="42">
        <v>200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</row>
    <row r="21" spans="1:97" s="83" customFormat="1" ht="10.5" customHeight="1" x14ac:dyDescent="0.25">
      <c r="A21" s="40"/>
      <c r="B21" s="42" t="s">
        <v>57</v>
      </c>
      <c r="C21" s="41">
        <v>40</v>
      </c>
      <c r="D21" s="41"/>
      <c r="E21" s="41">
        <v>40</v>
      </c>
      <c r="F21" s="41"/>
      <c r="G21" s="41"/>
      <c r="H21" s="41"/>
      <c r="I21" s="41"/>
      <c r="J21" s="41"/>
      <c r="K21" s="41"/>
      <c r="L21" s="41"/>
      <c r="M21" s="42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</row>
    <row r="22" spans="1:97" s="83" customFormat="1" ht="10.5" customHeight="1" x14ac:dyDescent="0.25">
      <c r="A22" s="40"/>
      <c r="B22" s="42" t="s">
        <v>58</v>
      </c>
      <c r="C22" s="41">
        <v>20</v>
      </c>
      <c r="D22" s="41">
        <v>20</v>
      </c>
      <c r="E22" s="41"/>
      <c r="F22" s="41"/>
      <c r="G22" s="41"/>
      <c r="H22" s="41"/>
      <c r="I22" s="41"/>
      <c r="J22" s="41"/>
      <c r="K22" s="41"/>
      <c r="L22" s="41"/>
      <c r="M22" s="42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2"/>
    </row>
    <row r="23" spans="1:97" s="83" customFormat="1" ht="10.5" customHeight="1" x14ac:dyDescent="0.25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</row>
    <row r="24" spans="1:97" s="85" customFormat="1" ht="10.5" customHeight="1" x14ac:dyDescent="0.25">
      <c r="A24" s="46"/>
      <c r="B24" s="52" t="s">
        <v>19</v>
      </c>
      <c r="C24" s="48">
        <f t="shared" ref="C24:AG24" si="1">SUM(C15:C23)</f>
        <v>930</v>
      </c>
      <c r="D24" s="48">
        <f t="shared" si="1"/>
        <v>25</v>
      </c>
      <c r="E24" s="48">
        <f t="shared" si="1"/>
        <v>40</v>
      </c>
      <c r="F24" s="48">
        <f t="shared" si="1"/>
        <v>2</v>
      </c>
      <c r="G24" s="48">
        <f t="shared" si="1"/>
        <v>36</v>
      </c>
      <c r="H24" s="48">
        <f t="shared" si="1"/>
        <v>0</v>
      </c>
      <c r="I24" s="48">
        <f t="shared" si="1"/>
        <v>20</v>
      </c>
      <c r="J24" s="48">
        <f t="shared" si="1"/>
        <v>132</v>
      </c>
      <c r="K24" s="48">
        <f t="shared" si="1"/>
        <v>180</v>
      </c>
      <c r="L24" s="48">
        <f t="shared" si="1"/>
        <v>0</v>
      </c>
      <c r="M24" s="48">
        <f t="shared" si="1"/>
        <v>200</v>
      </c>
      <c r="N24" s="48">
        <f t="shared" si="1"/>
        <v>79</v>
      </c>
      <c r="O24" s="48">
        <f t="shared" si="1"/>
        <v>0</v>
      </c>
      <c r="P24" s="48">
        <f t="shared" si="1"/>
        <v>0</v>
      </c>
      <c r="Q24" s="48">
        <f t="shared" si="1"/>
        <v>0</v>
      </c>
      <c r="R24" s="48">
        <f t="shared" si="1"/>
        <v>0</v>
      </c>
      <c r="S24" s="48">
        <f t="shared" si="1"/>
        <v>0</v>
      </c>
      <c r="T24" s="48">
        <f t="shared" si="1"/>
        <v>0</v>
      </c>
      <c r="U24" s="48">
        <f t="shared" si="1"/>
        <v>0</v>
      </c>
      <c r="V24" s="48">
        <f t="shared" si="1"/>
        <v>0</v>
      </c>
      <c r="W24" s="48">
        <f t="shared" si="1"/>
        <v>15</v>
      </c>
      <c r="X24" s="48">
        <f t="shared" si="1"/>
        <v>0</v>
      </c>
      <c r="Y24" s="48">
        <f t="shared" si="1"/>
        <v>0</v>
      </c>
      <c r="Z24" s="48">
        <f t="shared" si="1"/>
        <v>2</v>
      </c>
      <c r="AA24" s="48">
        <f t="shared" si="1"/>
        <v>0</v>
      </c>
      <c r="AB24" s="48">
        <f t="shared" si="1"/>
        <v>0</v>
      </c>
      <c r="AC24" s="48">
        <f t="shared" si="1"/>
        <v>0</v>
      </c>
      <c r="AD24" s="48">
        <f t="shared" si="1"/>
        <v>0</v>
      </c>
      <c r="AE24" s="48">
        <f t="shared" si="1"/>
        <v>0</v>
      </c>
      <c r="AF24" s="48">
        <f t="shared" si="1"/>
        <v>0</v>
      </c>
      <c r="AG24" s="48">
        <f t="shared" si="1"/>
        <v>0</v>
      </c>
    </row>
    <row r="25" spans="1:97" ht="10.5" customHeight="1" x14ac:dyDescent="0.25">
      <c r="AG25" s="42"/>
    </row>
    <row r="26" spans="1:97" s="82" customFormat="1" ht="10.5" customHeight="1" x14ac:dyDescent="0.25">
      <c r="A26" s="157" t="s">
        <v>137</v>
      </c>
      <c r="B26" s="158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</row>
    <row r="27" spans="1:97" ht="10.5" customHeight="1" x14ac:dyDescent="0.25">
      <c r="A27" s="63">
        <v>131</v>
      </c>
      <c r="B27" s="144" t="s">
        <v>105</v>
      </c>
      <c r="C27" s="54">
        <v>60</v>
      </c>
      <c r="D27" s="54"/>
      <c r="E27" s="54"/>
      <c r="F27" s="54"/>
      <c r="G27" s="54"/>
      <c r="H27" s="54"/>
      <c r="I27" s="54"/>
      <c r="J27" s="54">
        <v>58</v>
      </c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>
        <v>2.5</v>
      </c>
      <c r="X27" s="54"/>
      <c r="Y27" s="54"/>
      <c r="Z27" s="54"/>
      <c r="AA27" s="54"/>
      <c r="AB27" s="54"/>
      <c r="AC27" s="54"/>
      <c r="AD27" s="54"/>
      <c r="AE27" s="54"/>
      <c r="AF27" s="54"/>
      <c r="AG27" s="42"/>
    </row>
    <row r="28" spans="1:97" ht="10.5" customHeight="1" x14ac:dyDescent="0.25">
      <c r="A28" s="51">
        <v>83</v>
      </c>
      <c r="B28" s="42" t="s">
        <v>161</v>
      </c>
      <c r="C28" s="42">
        <v>200</v>
      </c>
      <c r="I28" s="42">
        <v>40</v>
      </c>
      <c r="J28" s="42">
        <f>32+8+2+8+6</f>
        <v>56</v>
      </c>
      <c r="V28" s="42">
        <v>10</v>
      </c>
      <c r="X28" s="42">
        <v>5</v>
      </c>
      <c r="Z28" s="42">
        <v>1.5</v>
      </c>
      <c r="AG28" s="42"/>
    </row>
    <row r="29" spans="1:97" s="88" customFormat="1" ht="10.5" customHeight="1" x14ac:dyDescent="0.25">
      <c r="A29" s="86">
        <v>235</v>
      </c>
      <c r="B29" s="43" t="s">
        <v>130</v>
      </c>
      <c r="C29" s="71">
        <v>80</v>
      </c>
      <c r="D29" s="71"/>
      <c r="E29" s="71">
        <f>6*1.5</f>
        <v>9</v>
      </c>
      <c r="F29" s="71"/>
      <c r="G29" s="71"/>
      <c r="H29" s="71"/>
      <c r="I29" s="71"/>
      <c r="J29" s="71">
        <f>(9+1)*1.5</f>
        <v>15</v>
      </c>
      <c r="K29" s="71"/>
      <c r="L29" s="71"/>
      <c r="M29" s="43"/>
      <c r="N29" s="71"/>
      <c r="O29" s="71"/>
      <c r="P29" s="71"/>
      <c r="Q29" s="71">
        <f>43*1.5</f>
        <v>64.5</v>
      </c>
      <c r="R29" s="71"/>
      <c r="S29" s="71"/>
      <c r="T29" s="71"/>
      <c r="U29" s="71"/>
      <c r="V29" s="71"/>
      <c r="W29" s="71"/>
      <c r="X29" s="71">
        <v>6</v>
      </c>
      <c r="Y29" s="71">
        <f>2*1.5</f>
        <v>3</v>
      </c>
      <c r="Z29" s="71"/>
      <c r="AA29" s="71"/>
      <c r="AB29" s="71"/>
      <c r="AC29" s="71"/>
      <c r="AD29" s="71"/>
      <c r="AE29" s="71"/>
      <c r="AF29" s="71"/>
      <c r="AG29" s="71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</row>
    <row r="30" spans="1:97" ht="10.5" customHeight="1" x14ac:dyDescent="0.25">
      <c r="A30" s="53">
        <v>125</v>
      </c>
      <c r="B30" s="54" t="s">
        <v>159</v>
      </c>
      <c r="C30" s="54">
        <v>150</v>
      </c>
      <c r="I30" s="42">
        <f>103*1.45</f>
        <v>149.35</v>
      </c>
      <c r="W30" s="42">
        <v>5</v>
      </c>
      <c r="AG30" s="42"/>
    </row>
    <row r="31" spans="1:97" ht="10.5" customHeight="1" x14ac:dyDescent="0.25">
      <c r="A31" s="86" t="s">
        <v>141</v>
      </c>
      <c r="B31" s="42" t="s">
        <v>142</v>
      </c>
      <c r="C31" s="42">
        <v>80</v>
      </c>
      <c r="F31" s="42">
        <f>54*0.8</f>
        <v>43.2</v>
      </c>
      <c r="R31" s="42">
        <v>25</v>
      </c>
      <c r="W31" s="42">
        <v>2</v>
      </c>
      <c r="X31" s="42">
        <v>3</v>
      </c>
      <c r="Y31" s="42">
        <v>2.5</v>
      </c>
      <c r="Z31" s="42">
        <f>3.3*0.8</f>
        <v>2.64</v>
      </c>
      <c r="AA31" s="42">
        <v>15</v>
      </c>
      <c r="AD31" s="42">
        <v>1.5</v>
      </c>
      <c r="AG31" s="42"/>
    </row>
    <row r="32" spans="1:97" s="83" customFormat="1" ht="10.5" customHeight="1" x14ac:dyDescent="0.25">
      <c r="A32" s="40"/>
      <c r="B32" s="45" t="s">
        <v>140</v>
      </c>
      <c r="C32" s="41">
        <v>200</v>
      </c>
      <c r="D32" s="41"/>
      <c r="E32" s="41"/>
      <c r="F32" s="41"/>
      <c r="G32" s="41"/>
      <c r="H32" s="41"/>
      <c r="I32" s="41"/>
      <c r="J32" s="41"/>
      <c r="K32" s="41"/>
      <c r="L32" s="41"/>
      <c r="M32" s="42"/>
      <c r="N32" s="41"/>
      <c r="O32" s="41"/>
      <c r="P32" s="41"/>
      <c r="Q32" s="41"/>
      <c r="R32" s="41">
        <v>202</v>
      </c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</row>
    <row r="33" spans="1:34" ht="10.5" customHeight="1" x14ac:dyDescent="0.25">
      <c r="B33" s="42" t="s">
        <v>57</v>
      </c>
      <c r="C33" s="42">
        <v>40</v>
      </c>
      <c r="E33" s="42">
        <v>40</v>
      </c>
      <c r="AG33" s="42"/>
    </row>
    <row r="34" spans="1:34" s="83" customFormat="1" ht="10.5" customHeight="1" x14ac:dyDescent="0.25">
      <c r="A34" s="40"/>
      <c r="B34" s="42" t="s">
        <v>58</v>
      </c>
      <c r="C34" s="41">
        <v>20</v>
      </c>
      <c r="D34" s="41">
        <v>20</v>
      </c>
      <c r="E34" s="41"/>
      <c r="F34" s="41"/>
      <c r="G34" s="41"/>
      <c r="H34" s="41"/>
      <c r="I34" s="41"/>
      <c r="J34" s="41"/>
      <c r="K34" s="41"/>
      <c r="L34" s="41"/>
      <c r="M34" s="42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2"/>
    </row>
    <row r="35" spans="1:34" s="83" customFormat="1" ht="10.5" customHeight="1" x14ac:dyDescent="0.25">
      <c r="A35" s="40"/>
      <c r="B35" s="41"/>
      <c r="C35" s="58"/>
      <c r="D35" s="57"/>
      <c r="E35" s="57"/>
      <c r="F35" s="57"/>
      <c r="G35" s="57"/>
      <c r="H35" s="57"/>
      <c r="I35" s="41"/>
      <c r="J35" s="41"/>
      <c r="K35" s="41"/>
      <c r="L35" s="57"/>
      <c r="M35" s="54"/>
      <c r="N35" s="41"/>
      <c r="O35" s="41"/>
      <c r="P35" s="41"/>
      <c r="Q35" s="41"/>
      <c r="R35" s="41"/>
      <c r="S35" s="41"/>
      <c r="T35" s="41"/>
      <c r="U35" s="41"/>
      <c r="V35" s="41"/>
      <c r="W35" s="57"/>
      <c r="X35" s="57"/>
      <c r="Y35" s="41"/>
      <c r="Z35" s="57"/>
      <c r="AA35" s="57"/>
      <c r="AB35" s="57"/>
      <c r="AC35" s="57"/>
      <c r="AD35" s="57"/>
      <c r="AE35" s="57"/>
      <c r="AF35" s="41"/>
      <c r="AG35" s="42"/>
    </row>
    <row r="36" spans="1:34" s="89" customFormat="1" ht="10.5" customHeight="1" x14ac:dyDescent="0.25">
      <c r="A36" s="59"/>
      <c r="B36" s="47" t="s">
        <v>19</v>
      </c>
      <c r="C36" s="48">
        <f t="shared" ref="C36:AG36" si="2">SUM(C27:C35)</f>
        <v>830</v>
      </c>
      <c r="D36" s="48">
        <f t="shared" si="2"/>
        <v>20</v>
      </c>
      <c r="E36" s="48">
        <f t="shared" si="2"/>
        <v>49</v>
      </c>
      <c r="F36" s="48">
        <f t="shared" si="2"/>
        <v>43.2</v>
      </c>
      <c r="G36" s="48">
        <f t="shared" si="2"/>
        <v>0</v>
      </c>
      <c r="H36" s="48">
        <f t="shared" si="2"/>
        <v>0</v>
      </c>
      <c r="I36" s="48">
        <f t="shared" si="2"/>
        <v>189.35</v>
      </c>
      <c r="J36" s="48">
        <f t="shared" si="2"/>
        <v>129</v>
      </c>
      <c r="K36" s="48">
        <f t="shared" si="2"/>
        <v>0</v>
      </c>
      <c r="L36" s="48">
        <f t="shared" si="2"/>
        <v>0</v>
      </c>
      <c r="M36" s="48">
        <f t="shared" si="2"/>
        <v>0</v>
      </c>
      <c r="N36" s="48">
        <f t="shared" si="2"/>
        <v>0</v>
      </c>
      <c r="O36" s="48">
        <f t="shared" si="2"/>
        <v>0</v>
      </c>
      <c r="P36" s="48">
        <f t="shared" si="2"/>
        <v>0</v>
      </c>
      <c r="Q36" s="48">
        <f t="shared" si="2"/>
        <v>64.5</v>
      </c>
      <c r="R36" s="48">
        <f t="shared" si="2"/>
        <v>227</v>
      </c>
      <c r="S36" s="48">
        <f t="shared" si="2"/>
        <v>0</v>
      </c>
      <c r="T36" s="48">
        <f t="shared" si="2"/>
        <v>0</v>
      </c>
      <c r="U36" s="48">
        <f t="shared" si="2"/>
        <v>0</v>
      </c>
      <c r="V36" s="48">
        <f t="shared" si="2"/>
        <v>10</v>
      </c>
      <c r="W36" s="48">
        <f t="shared" si="2"/>
        <v>9.5</v>
      </c>
      <c r="X36" s="48">
        <f t="shared" si="2"/>
        <v>14</v>
      </c>
      <c r="Y36" s="48">
        <f t="shared" si="2"/>
        <v>5.5</v>
      </c>
      <c r="Z36" s="48">
        <f t="shared" si="2"/>
        <v>4.1400000000000006</v>
      </c>
      <c r="AA36" s="48">
        <f t="shared" si="2"/>
        <v>15</v>
      </c>
      <c r="AB36" s="48">
        <f t="shared" si="2"/>
        <v>0</v>
      </c>
      <c r="AC36" s="48">
        <f t="shared" si="2"/>
        <v>0</v>
      </c>
      <c r="AD36" s="48">
        <f t="shared" si="2"/>
        <v>1.5</v>
      </c>
      <c r="AE36" s="48">
        <f t="shared" si="2"/>
        <v>0</v>
      </c>
      <c r="AF36" s="48">
        <f t="shared" si="2"/>
        <v>0</v>
      </c>
      <c r="AG36" s="48">
        <f t="shared" si="2"/>
        <v>0</v>
      </c>
    </row>
    <row r="37" spans="1:34" s="91" customFormat="1" ht="10.5" customHeight="1" x14ac:dyDescent="0.25">
      <c r="A37" s="49"/>
      <c r="B37" s="60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90"/>
    </row>
    <row r="38" spans="1:34" s="82" customFormat="1" ht="10.5" customHeight="1" x14ac:dyDescent="0.25">
      <c r="A38" s="159" t="s">
        <v>138</v>
      </c>
      <c r="B38" s="160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42"/>
    </row>
    <row r="39" spans="1:34" s="42" customFormat="1" ht="10.5" customHeight="1" x14ac:dyDescent="0.25">
      <c r="A39" s="44">
        <v>47</v>
      </c>
      <c r="B39" s="45" t="s">
        <v>102</v>
      </c>
      <c r="C39" s="42">
        <f>50*1.2</f>
        <v>60</v>
      </c>
      <c r="J39" s="42">
        <f>(42+5)*1.2</f>
        <v>56.4</v>
      </c>
      <c r="X39" s="42">
        <v>2.5</v>
      </c>
      <c r="Z39" s="42">
        <v>2.5</v>
      </c>
      <c r="AH39" s="93"/>
    </row>
    <row r="40" spans="1:34" s="83" customFormat="1" ht="10.5" customHeight="1" x14ac:dyDescent="0.25">
      <c r="A40" s="56">
        <v>94</v>
      </c>
      <c r="B40" s="54" t="s">
        <v>113</v>
      </c>
      <c r="C40" s="57">
        <v>200</v>
      </c>
      <c r="D40" s="57"/>
      <c r="E40" s="57"/>
      <c r="F40" s="57"/>
      <c r="G40" s="57"/>
      <c r="H40" s="57"/>
      <c r="I40" s="57">
        <v>60</v>
      </c>
      <c r="J40" s="57">
        <f>8+12+6</f>
        <v>26</v>
      </c>
      <c r="K40" s="57"/>
      <c r="L40" s="57"/>
      <c r="M40" s="54"/>
      <c r="N40" s="57"/>
      <c r="O40" s="57"/>
      <c r="P40" s="57"/>
      <c r="Q40" s="57"/>
      <c r="R40" s="57"/>
      <c r="S40" s="57"/>
      <c r="T40" s="57"/>
      <c r="U40" s="57"/>
      <c r="V40" s="57"/>
      <c r="W40" s="57">
        <v>5</v>
      </c>
      <c r="X40" s="57"/>
      <c r="Y40" s="57"/>
      <c r="Z40" s="57"/>
      <c r="AA40" s="57"/>
      <c r="AB40" s="57"/>
      <c r="AC40" s="57"/>
      <c r="AD40" s="57"/>
      <c r="AE40" s="57"/>
      <c r="AF40" s="57"/>
      <c r="AG40" s="42"/>
    </row>
    <row r="41" spans="1:34" s="83" customFormat="1" ht="10.5" customHeight="1" x14ac:dyDescent="0.25">
      <c r="A41" s="40" t="s">
        <v>132</v>
      </c>
      <c r="B41" s="42" t="s">
        <v>131</v>
      </c>
      <c r="C41" s="41">
        <f>150*1.2</f>
        <v>180</v>
      </c>
      <c r="D41" s="41"/>
      <c r="E41" s="41"/>
      <c r="F41" s="41"/>
      <c r="G41" s="41">
        <v>41</v>
      </c>
      <c r="H41" s="41"/>
      <c r="I41" s="41"/>
      <c r="J41" s="84">
        <f>12+10+5</f>
        <v>27</v>
      </c>
      <c r="K41" s="41"/>
      <c r="L41" s="41"/>
      <c r="M41" s="42"/>
      <c r="N41" s="41">
        <v>81</v>
      </c>
      <c r="O41" s="41"/>
      <c r="P41" s="41"/>
      <c r="Q41" s="41"/>
      <c r="R41" s="41"/>
      <c r="S41" s="41"/>
      <c r="T41" s="41"/>
      <c r="U41" s="41"/>
      <c r="V41" s="41"/>
      <c r="W41" s="41"/>
      <c r="X41" s="41">
        <v>8</v>
      </c>
      <c r="Y41" s="41"/>
      <c r="Z41" s="41"/>
      <c r="AA41" s="41"/>
      <c r="AB41" s="41"/>
      <c r="AC41" s="41"/>
      <c r="AD41" s="41"/>
      <c r="AE41" s="41"/>
      <c r="AF41" s="41"/>
      <c r="AG41" s="42"/>
    </row>
    <row r="42" spans="1:34" s="83" customFormat="1" ht="10.5" customHeight="1" x14ac:dyDescent="0.25">
      <c r="A42" s="40">
        <v>338</v>
      </c>
      <c r="B42" s="42" t="s">
        <v>109</v>
      </c>
      <c r="C42" s="41">
        <v>150</v>
      </c>
      <c r="D42" s="41"/>
      <c r="E42" s="41"/>
      <c r="F42" s="41"/>
      <c r="G42" s="41"/>
      <c r="H42" s="41"/>
      <c r="I42" s="41"/>
      <c r="J42" s="41"/>
      <c r="K42" s="41">
        <v>150</v>
      </c>
      <c r="L42" s="41"/>
      <c r="M42" s="42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2"/>
    </row>
    <row r="43" spans="1:34" s="83" customFormat="1" ht="10.5" customHeight="1" x14ac:dyDescent="0.25">
      <c r="A43" s="40"/>
      <c r="B43" s="42" t="s">
        <v>164</v>
      </c>
      <c r="C43" s="41">
        <v>200</v>
      </c>
      <c r="D43" s="41"/>
      <c r="E43" s="41"/>
      <c r="F43" s="41"/>
      <c r="G43" s="41"/>
      <c r="H43" s="41"/>
      <c r="I43" s="41"/>
      <c r="J43" s="41"/>
      <c r="K43" s="41"/>
      <c r="L43" s="41"/>
      <c r="M43" s="42"/>
      <c r="N43" s="41"/>
      <c r="O43" s="41"/>
      <c r="P43" s="41"/>
      <c r="Q43" s="41"/>
      <c r="R43" s="41"/>
      <c r="S43" s="41">
        <v>200</v>
      </c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</row>
    <row r="44" spans="1:34" s="83" customFormat="1" ht="10.5" customHeight="1" x14ac:dyDescent="0.25">
      <c r="A44" s="55"/>
      <c r="B44" s="42" t="s">
        <v>57</v>
      </c>
      <c r="C44" s="41">
        <v>40</v>
      </c>
      <c r="D44" s="41"/>
      <c r="E44" s="41">
        <v>40</v>
      </c>
      <c r="F44" s="41"/>
      <c r="G44" s="41"/>
      <c r="H44" s="41"/>
      <c r="I44" s="41"/>
      <c r="J44" s="41"/>
      <c r="K44" s="41"/>
      <c r="L44" s="41"/>
      <c r="M44" s="42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2"/>
    </row>
    <row r="45" spans="1:34" s="83" customFormat="1" ht="10.5" customHeight="1" x14ac:dyDescent="0.25">
      <c r="A45" s="40"/>
      <c r="B45" s="42" t="s">
        <v>58</v>
      </c>
      <c r="C45" s="41">
        <v>20</v>
      </c>
      <c r="D45" s="41">
        <v>20</v>
      </c>
      <c r="E45" s="41"/>
      <c r="F45" s="41"/>
      <c r="G45" s="41"/>
      <c r="H45" s="41"/>
      <c r="I45" s="41"/>
      <c r="J45" s="41"/>
      <c r="K45" s="41"/>
      <c r="L45" s="41"/>
      <c r="M45" s="42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2"/>
    </row>
    <row r="46" spans="1:34" s="83" customFormat="1" ht="10.5" customHeight="1" x14ac:dyDescent="0.25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2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2"/>
    </row>
    <row r="47" spans="1:34" s="85" customFormat="1" ht="10.5" customHeight="1" x14ac:dyDescent="0.25">
      <c r="A47" s="46"/>
      <c r="B47" s="52" t="s">
        <v>19</v>
      </c>
      <c r="C47" s="48">
        <f t="shared" ref="C47:AG47" si="3">SUM(C39:C46)</f>
        <v>850</v>
      </c>
      <c r="D47" s="48">
        <f t="shared" si="3"/>
        <v>20</v>
      </c>
      <c r="E47" s="48">
        <f t="shared" si="3"/>
        <v>40</v>
      </c>
      <c r="F47" s="48">
        <f t="shared" si="3"/>
        <v>0</v>
      </c>
      <c r="G47" s="48">
        <f t="shared" si="3"/>
        <v>41</v>
      </c>
      <c r="H47" s="48">
        <f t="shared" si="3"/>
        <v>0</v>
      </c>
      <c r="I47" s="48">
        <f t="shared" si="3"/>
        <v>60</v>
      </c>
      <c r="J47" s="48">
        <f t="shared" si="3"/>
        <v>109.4</v>
      </c>
      <c r="K47" s="48">
        <f t="shared" si="3"/>
        <v>150</v>
      </c>
      <c r="L47" s="48">
        <f t="shared" si="3"/>
        <v>0</v>
      </c>
      <c r="M47" s="48">
        <f t="shared" si="3"/>
        <v>0</v>
      </c>
      <c r="N47" s="48">
        <f t="shared" si="3"/>
        <v>81</v>
      </c>
      <c r="O47" s="48">
        <f t="shared" si="3"/>
        <v>0</v>
      </c>
      <c r="P47" s="48">
        <f t="shared" si="3"/>
        <v>0</v>
      </c>
      <c r="Q47" s="48">
        <f t="shared" si="3"/>
        <v>0</v>
      </c>
      <c r="R47" s="48">
        <f t="shared" si="3"/>
        <v>0</v>
      </c>
      <c r="S47" s="48">
        <f t="shared" si="3"/>
        <v>200</v>
      </c>
      <c r="T47" s="48">
        <f t="shared" si="3"/>
        <v>0</v>
      </c>
      <c r="U47" s="48">
        <f t="shared" si="3"/>
        <v>0</v>
      </c>
      <c r="V47" s="48">
        <f t="shared" si="3"/>
        <v>0</v>
      </c>
      <c r="W47" s="48">
        <f t="shared" si="3"/>
        <v>5</v>
      </c>
      <c r="X47" s="48">
        <f t="shared" si="3"/>
        <v>10.5</v>
      </c>
      <c r="Y47" s="48">
        <f t="shared" si="3"/>
        <v>0</v>
      </c>
      <c r="Z47" s="48">
        <f t="shared" si="3"/>
        <v>2.5</v>
      </c>
      <c r="AA47" s="48">
        <f t="shared" si="3"/>
        <v>0</v>
      </c>
      <c r="AB47" s="48">
        <f t="shared" si="3"/>
        <v>0</v>
      </c>
      <c r="AC47" s="48">
        <f t="shared" si="3"/>
        <v>0</v>
      </c>
      <c r="AD47" s="48">
        <f t="shared" si="3"/>
        <v>0</v>
      </c>
      <c r="AE47" s="48">
        <f t="shared" si="3"/>
        <v>0</v>
      </c>
      <c r="AF47" s="48">
        <f t="shared" si="3"/>
        <v>0</v>
      </c>
      <c r="AG47" s="48">
        <f t="shared" si="3"/>
        <v>0</v>
      </c>
    </row>
    <row r="48" spans="1:34" s="42" customFormat="1" ht="10.5" customHeight="1" x14ac:dyDescent="0.25">
      <c r="A48" s="61"/>
      <c r="B48" s="61"/>
      <c r="AH48" s="93"/>
    </row>
    <row r="49" spans="1:33" s="82" customFormat="1" ht="9.75" customHeight="1" x14ac:dyDescent="0.25">
      <c r="A49" s="159" t="s">
        <v>139</v>
      </c>
      <c r="B49" s="160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42"/>
    </row>
    <row r="50" spans="1:33" ht="10.5" customHeight="1" x14ac:dyDescent="0.25">
      <c r="A50" s="51">
        <v>55</v>
      </c>
      <c r="B50" s="42" t="s">
        <v>107</v>
      </c>
      <c r="C50" s="42">
        <v>60</v>
      </c>
      <c r="J50" s="42">
        <f>(30+10+5+2.5)*1.2</f>
        <v>57</v>
      </c>
      <c r="X50" s="42">
        <v>3</v>
      </c>
    </row>
    <row r="51" spans="1:33" s="83" customFormat="1" ht="10.5" customHeight="1" x14ac:dyDescent="0.25">
      <c r="A51" s="40">
        <v>102</v>
      </c>
      <c r="B51" s="42" t="s">
        <v>117</v>
      </c>
      <c r="C51" s="41">
        <v>200</v>
      </c>
      <c r="D51" s="41"/>
      <c r="E51" s="41"/>
      <c r="F51" s="41"/>
      <c r="G51" s="41">
        <v>16</v>
      </c>
      <c r="H51" s="41"/>
      <c r="I51" s="41">
        <v>35</v>
      </c>
      <c r="J51" s="41">
        <f>8+8+2</f>
        <v>18</v>
      </c>
      <c r="K51" s="41"/>
      <c r="L51" s="41"/>
      <c r="M51" s="42"/>
      <c r="N51" s="41"/>
      <c r="O51" s="41"/>
      <c r="P51" s="41"/>
      <c r="Q51" s="41"/>
      <c r="R51" s="41"/>
      <c r="S51" s="41"/>
      <c r="T51" s="41"/>
      <c r="U51" s="41"/>
      <c r="V51" s="41"/>
      <c r="W51" s="41">
        <v>5</v>
      </c>
      <c r="X51" s="41"/>
      <c r="Y51" s="41"/>
      <c r="Z51" s="41"/>
      <c r="AA51" s="41"/>
      <c r="AB51" s="41"/>
      <c r="AC51" s="41"/>
      <c r="AD51" s="41"/>
      <c r="AE51" s="41"/>
      <c r="AF51" s="41"/>
      <c r="AG51" s="42"/>
    </row>
    <row r="52" spans="1:33" ht="10.5" customHeight="1" x14ac:dyDescent="0.25">
      <c r="A52" s="40">
        <v>289</v>
      </c>
      <c r="B52" s="42" t="s">
        <v>128</v>
      </c>
      <c r="C52" s="41">
        <v>175</v>
      </c>
      <c r="D52" s="41"/>
      <c r="E52" s="41"/>
      <c r="F52" s="41">
        <v>2</v>
      </c>
      <c r="G52" s="41"/>
      <c r="H52" s="41"/>
      <c r="I52" s="41">
        <v>73</v>
      </c>
      <c r="J52" s="41">
        <f>20+5+8+13</f>
        <v>46</v>
      </c>
      <c r="K52" s="41"/>
      <c r="L52" s="41"/>
      <c r="N52" s="41"/>
      <c r="O52" s="41"/>
      <c r="P52" s="41">
        <v>73</v>
      </c>
      <c r="Q52" s="41"/>
      <c r="R52" s="41"/>
      <c r="S52" s="41"/>
      <c r="T52" s="41"/>
      <c r="U52" s="41"/>
      <c r="V52" s="41"/>
      <c r="W52" s="41"/>
      <c r="X52" s="41">
        <v>2</v>
      </c>
      <c r="Y52" s="41"/>
      <c r="AG52" s="42"/>
    </row>
    <row r="53" spans="1:33" s="83" customFormat="1" ht="10.5" customHeight="1" x14ac:dyDescent="0.25">
      <c r="A53" s="40">
        <v>338</v>
      </c>
      <c r="B53" s="42" t="s">
        <v>109</v>
      </c>
      <c r="C53" s="41">
        <v>180</v>
      </c>
      <c r="D53" s="41"/>
      <c r="E53" s="41"/>
      <c r="F53" s="41"/>
      <c r="G53" s="41"/>
      <c r="H53" s="41"/>
      <c r="I53" s="41"/>
      <c r="J53" s="41"/>
      <c r="K53" s="41">
        <v>180</v>
      </c>
      <c r="L53" s="41"/>
      <c r="M53" s="42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2"/>
    </row>
    <row r="54" spans="1:33" s="83" customFormat="1" ht="10.5" customHeight="1" x14ac:dyDescent="0.25">
      <c r="A54" s="40"/>
      <c r="B54" s="45" t="s">
        <v>140</v>
      </c>
      <c r="C54" s="41">
        <v>200</v>
      </c>
      <c r="D54" s="41"/>
      <c r="E54" s="41"/>
      <c r="F54" s="41"/>
      <c r="G54" s="41"/>
      <c r="H54" s="41"/>
      <c r="I54" s="41"/>
      <c r="J54" s="41"/>
      <c r="K54" s="41"/>
      <c r="L54" s="41"/>
      <c r="M54" s="42"/>
      <c r="N54" s="41"/>
      <c r="O54" s="41"/>
      <c r="P54" s="41"/>
      <c r="Q54" s="41"/>
      <c r="R54" s="41">
        <v>202</v>
      </c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</row>
    <row r="55" spans="1:33" s="83" customFormat="1" ht="10.5" customHeight="1" x14ac:dyDescent="0.25">
      <c r="A55" s="55"/>
      <c r="B55" s="42" t="s">
        <v>57</v>
      </c>
      <c r="C55" s="41">
        <v>40</v>
      </c>
      <c r="D55" s="41"/>
      <c r="E55" s="41">
        <v>40</v>
      </c>
      <c r="F55" s="41"/>
      <c r="G55" s="41"/>
      <c r="H55" s="41"/>
      <c r="I55" s="41"/>
      <c r="J55" s="41"/>
      <c r="K55" s="41"/>
      <c r="L55" s="41"/>
      <c r="M55" s="42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2"/>
    </row>
    <row r="56" spans="1:33" s="83" customFormat="1" ht="10.5" customHeight="1" x14ac:dyDescent="0.25">
      <c r="A56" s="40"/>
      <c r="B56" s="42" t="s">
        <v>58</v>
      </c>
      <c r="C56" s="41">
        <v>40</v>
      </c>
      <c r="D56" s="41">
        <v>40</v>
      </c>
      <c r="E56" s="41"/>
      <c r="F56" s="41"/>
      <c r="G56" s="41"/>
      <c r="H56" s="41"/>
      <c r="I56" s="41"/>
      <c r="J56" s="41"/>
      <c r="K56" s="41"/>
      <c r="L56" s="41"/>
      <c r="M56" s="42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</row>
    <row r="57" spans="1:33" s="83" customFormat="1" ht="10.5" customHeight="1" x14ac:dyDescent="0.25">
      <c r="A57" s="62"/>
      <c r="B57" s="57"/>
      <c r="C57" s="57"/>
      <c r="D57" s="41"/>
      <c r="E57" s="41"/>
      <c r="F57" s="41"/>
      <c r="G57" s="41"/>
      <c r="H57" s="41"/>
      <c r="I57" s="41"/>
      <c r="J57" s="41"/>
      <c r="K57" s="41"/>
      <c r="L57" s="41"/>
      <c r="M57" s="42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2"/>
    </row>
    <row r="58" spans="1:33" s="85" customFormat="1" ht="10.5" customHeight="1" x14ac:dyDescent="0.25">
      <c r="A58" s="46"/>
      <c r="B58" s="52" t="s">
        <v>19</v>
      </c>
      <c r="C58" s="48">
        <f t="shared" ref="C58:L58" si="4">SUM(C50:C57)</f>
        <v>895</v>
      </c>
      <c r="D58" s="48">
        <f t="shared" si="4"/>
        <v>40</v>
      </c>
      <c r="E58" s="48">
        <f t="shared" si="4"/>
        <v>40</v>
      </c>
      <c r="F58" s="48">
        <f t="shared" si="4"/>
        <v>2</v>
      </c>
      <c r="G58" s="48">
        <f t="shared" si="4"/>
        <v>16</v>
      </c>
      <c r="H58" s="48">
        <f t="shared" si="4"/>
        <v>0</v>
      </c>
      <c r="I58" s="48">
        <f t="shared" si="4"/>
        <v>108</v>
      </c>
      <c r="J58" s="48">
        <f t="shared" si="4"/>
        <v>121</v>
      </c>
      <c r="K58" s="48">
        <f t="shared" si="4"/>
        <v>180</v>
      </c>
      <c r="L58" s="48">
        <f t="shared" si="4"/>
        <v>0</v>
      </c>
      <c r="M58" s="48">
        <f t="shared" ref="M58:N58" si="5">SUM(M50:M57)</f>
        <v>0</v>
      </c>
      <c r="N58" s="48">
        <f t="shared" si="5"/>
        <v>0</v>
      </c>
      <c r="O58" s="48">
        <f t="shared" ref="O58:AG58" si="6">SUM(O50:O57)</f>
        <v>0</v>
      </c>
      <c r="P58" s="48">
        <f t="shared" si="6"/>
        <v>73</v>
      </c>
      <c r="Q58" s="48">
        <f t="shared" si="6"/>
        <v>0</v>
      </c>
      <c r="R58" s="48">
        <f t="shared" si="6"/>
        <v>202</v>
      </c>
      <c r="S58" s="48">
        <f t="shared" si="6"/>
        <v>0</v>
      </c>
      <c r="T58" s="48">
        <f t="shared" si="6"/>
        <v>0</v>
      </c>
      <c r="U58" s="48">
        <f t="shared" si="6"/>
        <v>0</v>
      </c>
      <c r="V58" s="48">
        <f t="shared" si="6"/>
        <v>0</v>
      </c>
      <c r="W58" s="48">
        <f t="shared" si="6"/>
        <v>5</v>
      </c>
      <c r="X58" s="48">
        <f t="shared" si="6"/>
        <v>5</v>
      </c>
      <c r="Y58" s="48">
        <f t="shared" si="6"/>
        <v>0</v>
      </c>
      <c r="Z58" s="48">
        <f t="shared" si="6"/>
        <v>0</v>
      </c>
      <c r="AA58" s="48">
        <f t="shared" si="6"/>
        <v>0</v>
      </c>
      <c r="AB58" s="48">
        <f t="shared" si="6"/>
        <v>0</v>
      </c>
      <c r="AC58" s="48">
        <f t="shared" si="6"/>
        <v>0</v>
      </c>
      <c r="AD58" s="48">
        <f t="shared" si="6"/>
        <v>0</v>
      </c>
      <c r="AE58" s="48">
        <f t="shared" si="6"/>
        <v>0</v>
      </c>
      <c r="AF58" s="48">
        <f t="shared" si="6"/>
        <v>0</v>
      </c>
      <c r="AG58" s="48">
        <f t="shared" si="6"/>
        <v>0</v>
      </c>
    </row>
    <row r="59" spans="1:33" ht="10.5" customHeight="1" x14ac:dyDescent="0.25">
      <c r="AG59" s="42"/>
    </row>
    <row r="60" spans="1:33" s="82" customFormat="1" ht="10.5" customHeight="1" x14ac:dyDescent="0.25">
      <c r="A60" s="157" t="s">
        <v>135</v>
      </c>
      <c r="B60" s="158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42"/>
    </row>
    <row r="61" spans="1:33" ht="10.5" customHeight="1" x14ac:dyDescent="0.25">
      <c r="A61" s="95">
        <v>15</v>
      </c>
      <c r="B61" s="143" t="s">
        <v>129</v>
      </c>
      <c r="C61" s="66">
        <v>20</v>
      </c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>
        <v>20</v>
      </c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70"/>
    </row>
    <row r="62" spans="1:33" ht="10.5" customHeight="1" x14ac:dyDescent="0.25">
      <c r="A62" s="51">
        <v>120</v>
      </c>
      <c r="B62" s="42" t="s">
        <v>106</v>
      </c>
      <c r="C62" s="42">
        <v>200</v>
      </c>
      <c r="H62" s="42">
        <f>8*2</f>
        <v>16</v>
      </c>
      <c r="R62" s="42">
        <v>125</v>
      </c>
      <c r="W62" s="42">
        <v>3</v>
      </c>
      <c r="Z62" s="42">
        <v>2</v>
      </c>
      <c r="AG62" s="42"/>
    </row>
    <row r="63" spans="1:33" ht="10.5" customHeight="1" x14ac:dyDescent="0.25">
      <c r="A63" s="51">
        <v>223</v>
      </c>
      <c r="B63" s="42" t="s">
        <v>149</v>
      </c>
      <c r="C63" s="42">
        <f>50*3.8</f>
        <v>190</v>
      </c>
      <c r="E63" s="42">
        <v>10</v>
      </c>
      <c r="G63" s="42">
        <v>10</v>
      </c>
      <c r="T63" s="42">
        <f>46*3.8</f>
        <v>174.79999999999998</v>
      </c>
      <c r="V63" s="42">
        <v>8</v>
      </c>
      <c r="W63" s="42">
        <v>8</v>
      </c>
      <c r="Y63" s="42">
        <v>8</v>
      </c>
      <c r="Z63" s="42">
        <v>18</v>
      </c>
      <c r="AG63" s="42"/>
    </row>
    <row r="64" spans="1:33" s="83" customFormat="1" ht="10.5" customHeight="1" x14ac:dyDescent="0.25">
      <c r="A64" s="40" t="s">
        <v>110</v>
      </c>
      <c r="B64" s="42" t="s">
        <v>148</v>
      </c>
      <c r="C64" s="41">
        <v>80</v>
      </c>
      <c r="D64" s="41"/>
      <c r="E64" s="41"/>
      <c r="F64" s="41"/>
      <c r="G64" s="41"/>
      <c r="H64" s="41"/>
      <c r="I64" s="41"/>
      <c r="J64" s="41"/>
      <c r="K64" s="41"/>
      <c r="L64" s="41"/>
      <c r="M64" s="42">
        <v>80</v>
      </c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>
        <v>20</v>
      </c>
      <c r="AA64" s="41"/>
      <c r="AB64" s="41"/>
      <c r="AC64" s="41"/>
      <c r="AD64" s="41"/>
      <c r="AE64" s="41"/>
      <c r="AF64" s="41"/>
      <c r="AG64" s="42">
        <v>10</v>
      </c>
    </row>
    <row r="65" spans="1:33" s="83" customFormat="1" ht="10.5" customHeight="1" x14ac:dyDescent="0.25">
      <c r="A65" s="40">
        <v>349</v>
      </c>
      <c r="B65" s="42" t="s">
        <v>146</v>
      </c>
      <c r="C65" s="41">
        <v>200</v>
      </c>
      <c r="D65" s="41"/>
      <c r="E65" s="41"/>
      <c r="F65" s="41"/>
      <c r="G65" s="41"/>
      <c r="H65" s="41"/>
      <c r="I65" s="41"/>
      <c r="J65" s="41"/>
      <c r="K65" s="41"/>
      <c r="L65" s="41">
        <v>34</v>
      </c>
      <c r="M65" s="42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>
        <v>20</v>
      </c>
      <c r="AA65" s="41"/>
      <c r="AB65" s="41"/>
      <c r="AC65" s="41"/>
      <c r="AD65" s="41"/>
      <c r="AE65" s="41"/>
      <c r="AF65" s="41"/>
      <c r="AG65" s="42"/>
    </row>
    <row r="66" spans="1:33" s="83" customFormat="1" ht="10.5" customHeight="1" x14ac:dyDescent="0.25">
      <c r="A66" s="40"/>
      <c r="B66" s="42" t="s">
        <v>57</v>
      </c>
      <c r="C66" s="41">
        <v>40</v>
      </c>
      <c r="D66" s="41"/>
      <c r="E66" s="41">
        <v>40</v>
      </c>
      <c r="F66" s="41"/>
      <c r="G66" s="41"/>
      <c r="H66" s="41"/>
      <c r="I66" s="41"/>
      <c r="J66" s="41"/>
      <c r="K66" s="41"/>
      <c r="L66" s="41"/>
      <c r="M66" s="42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2"/>
    </row>
    <row r="67" spans="1:33" s="83" customFormat="1" ht="10.5" customHeight="1" x14ac:dyDescent="0.25">
      <c r="A67" s="40"/>
      <c r="B67" s="42" t="s">
        <v>58</v>
      </c>
      <c r="C67" s="41">
        <v>20</v>
      </c>
      <c r="D67" s="41">
        <v>20</v>
      </c>
      <c r="E67" s="41"/>
      <c r="F67" s="41"/>
      <c r="G67" s="41"/>
      <c r="H67" s="41"/>
      <c r="I67" s="41"/>
      <c r="J67" s="41"/>
      <c r="K67" s="41"/>
      <c r="L67" s="41"/>
      <c r="M67" s="42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2"/>
    </row>
    <row r="68" spans="1:33" ht="10.5" customHeight="1" x14ac:dyDescent="0.25">
      <c r="A68" s="44"/>
      <c r="B68" s="45"/>
      <c r="AG68" s="42"/>
    </row>
    <row r="69" spans="1:33" s="85" customFormat="1" ht="10.5" customHeight="1" x14ac:dyDescent="0.25">
      <c r="A69" s="46"/>
      <c r="B69" s="52"/>
      <c r="C69" s="48">
        <f t="shared" ref="C69:AG69" si="7">SUM(C61:C68)</f>
        <v>750</v>
      </c>
      <c r="D69" s="48">
        <f t="shared" si="7"/>
        <v>20</v>
      </c>
      <c r="E69" s="48">
        <f t="shared" si="7"/>
        <v>50</v>
      </c>
      <c r="F69" s="48">
        <f t="shared" si="7"/>
        <v>0</v>
      </c>
      <c r="G69" s="48">
        <f t="shared" si="7"/>
        <v>10</v>
      </c>
      <c r="H69" s="48">
        <f t="shared" si="7"/>
        <v>16</v>
      </c>
      <c r="I69" s="48">
        <f t="shared" si="7"/>
        <v>0</v>
      </c>
      <c r="J69" s="48">
        <f t="shared" si="7"/>
        <v>0</v>
      </c>
      <c r="K69" s="48">
        <f t="shared" si="7"/>
        <v>0</v>
      </c>
      <c r="L69" s="48">
        <f t="shared" si="7"/>
        <v>34</v>
      </c>
      <c r="M69" s="48">
        <f t="shared" si="7"/>
        <v>80</v>
      </c>
      <c r="N69" s="48">
        <f t="shared" si="7"/>
        <v>0</v>
      </c>
      <c r="O69" s="48">
        <f t="shared" si="7"/>
        <v>0</v>
      </c>
      <c r="P69" s="48">
        <f t="shared" si="7"/>
        <v>0</v>
      </c>
      <c r="Q69" s="48">
        <f t="shared" si="7"/>
        <v>0</v>
      </c>
      <c r="R69" s="48">
        <f t="shared" si="7"/>
        <v>125</v>
      </c>
      <c r="S69" s="48">
        <f t="shared" si="7"/>
        <v>0</v>
      </c>
      <c r="T69" s="48">
        <f t="shared" si="7"/>
        <v>174.79999999999998</v>
      </c>
      <c r="U69" s="48">
        <f t="shared" si="7"/>
        <v>20</v>
      </c>
      <c r="V69" s="48">
        <f t="shared" si="7"/>
        <v>8</v>
      </c>
      <c r="W69" s="48">
        <f t="shared" si="7"/>
        <v>11</v>
      </c>
      <c r="X69" s="48">
        <f t="shared" si="7"/>
        <v>0</v>
      </c>
      <c r="Y69" s="48">
        <f t="shared" si="7"/>
        <v>8</v>
      </c>
      <c r="Z69" s="48">
        <f t="shared" si="7"/>
        <v>60</v>
      </c>
      <c r="AA69" s="48">
        <f t="shared" si="7"/>
        <v>0</v>
      </c>
      <c r="AB69" s="48">
        <f t="shared" si="7"/>
        <v>0</v>
      </c>
      <c r="AC69" s="48">
        <f t="shared" si="7"/>
        <v>0</v>
      </c>
      <c r="AD69" s="48">
        <f t="shared" si="7"/>
        <v>0</v>
      </c>
      <c r="AE69" s="48">
        <f t="shared" si="7"/>
        <v>0</v>
      </c>
      <c r="AF69" s="48">
        <f t="shared" si="7"/>
        <v>0</v>
      </c>
      <c r="AG69" s="48">
        <f t="shared" si="7"/>
        <v>10</v>
      </c>
    </row>
    <row r="70" spans="1:33" s="91" customFormat="1" ht="10.5" customHeight="1" x14ac:dyDescent="0.25">
      <c r="A70" s="64"/>
      <c r="B70" s="65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90"/>
    </row>
    <row r="71" spans="1:33" s="94" customFormat="1" ht="10.5" customHeight="1" x14ac:dyDescent="0.25">
      <c r="A71" s="157" t="s">
        <v>136</v>
      </c>
      <c r="B71" s="158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90"/>
    </row>
    <row r="72" spans="1:33" s="83" customFormat="1" ht="10.5" customHeight="1" x14ac:dyDescent="0.25">
      <c r="A72" s="40">
        <v>70</v>
      </c>
      <c r="B72" s="42" t="s">
        <v>143</v>
      </c>
      <c r="C72" s="41">
        <v>60</v>
      </c>
      <c r="D72" s="41"/>
      <c r="E72" s="41"/>
      <c r="F72" s="41"/>
      <c r="G72" s="41"/>
      <c r="H72" s="41"/>
      <c r="I72" s="41"/>
      <c r="J72" s="41">
        <v>60</v>
      </c>
      <c r="K72" s="41"/>
      <c r="L72" s="41"/>
      <c r="M72" s="42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2"/>
    </row>
    <row r="73" spans="1:33" s="83" customFormat="1" ht="10.5" customHeight="1" x14ac:dyDescent="0.25">
      <c r="A73" s="56">
        <v>81</v>
      </c>
      <c r="B73" s="54" t="s">
        <v>63</v>
      </c>
      <c r="C73" s="57">
        <v>200</v>
      </c>
      <c r="D73" s="41"/>
      <c r="E73" s="41"/>
      <c r="F73" s="41"/>
      <c r="G73" s="41"/>
      <c r="H73" s="41"/>
      <c r="I73" s="41">
        <f>10*2</f>
        <v>20</v>
      </c>
      <c r="J73" s="41">
        <f>(12+8+4+1+4+3)*2</f>
        <v>64</v>
      </c>
      <c r="K73" s="41"/>
      <c r="L73" s="41"/>
      <c r="M73" s="42"/>
      <c r="N73" s="41"/>
      <c r="O73" s="41"/>
      <c r="P73" s="41"/>
      <c r="Q73" s="41"/>
      <c r="R73" s="41"/>
      <c r="S73" s="41"/>
      <c r="T73" s="41"/>
      <c r="U73" s="41"/>
      <c r="V73" s="41"/>
      <c r="W73" s="41">
        <v>5</v>
      </c>
      <c r="X73" s="41"/>
      <c r="Y73" s="41"/>
      <c r="Z73" s="41">
        <v>2.5</v>
      </c>
      <c r="AA73" s="41"/>
      <c r="AB73" s="41"/>
      <c r="AC73" s="41"/>
      <c r="AD73" s="41"/>
      <c r="AE73" s="41"/>
      <c r="AF73" s="41"/>
      <c r="AG73" s="42"/>
    </row>
    <row r="74" spans="1:33" s="83" customFormat="1" ht="10.5" customHeight="1" x14ac:dyDescent="0.25">
      <c r="A74" s="56" t="s">
        <v>122</v>
      </c>
      <c r="B74" s="54" t="s">
        <v>123</v>
      </c>
      <c r="C74" s="57">
        <v>80</v>
      </c>
      <c r="D74" s="41"/>
      <c r="E74" s="41"/>
      <c r="F74" s="41">
        <v>2</v>
      </c>
      <c r="G74" s="41"/>
      <c r="H74" s="41"/>
      <c r="I74" s="41"/>
      <c r="J74" s="41">
        <v>15</v>
      </c>
      <c r="K74" s="41"/>
      <c r="L74" s="41"/>
      <c r="M74" s="42"/>
      <c r="N74" s="41"/>
      <c r="O74" s="41"/>
      <c r="P74" s="41"/>
      <c r="Q74" s="42">
        <f>37*2</f>
        <v>74</v>
      </c>
      <c r="R74" s="41">
        <v>50</v>
      </c>
      <c r="S74" s="41"/>
      <c r="T74" s="41"/>
      <c r="U74" s="41">
        <v>4</v>
      </c>
      <c r="V74" s="41"/>
      <c r="W74" s="41">
        <v>3</v>
      </c>
      <c r="X74" s="41">
        <v>5</v>
      </c>
      <c r="Y74" s="41"/>
      <c r="Z74" s="41"/>
      <c r="AA74" s="41"/>
      <c r="AB74" s="41"/>
      <c r="AC74" s="41"/>
      <c r="AD74" s="41"/>
      <c r="AE74" s="41"/>
      <c r="AF74" s="41"/>
      <c r="AG74" s="42"/>
    </row>
    <row r="75" spans="1:33" s="83" customFormat="1" ht="10.5" customHeight="1" x14ac:dyDescent="0.25">
      <c r="A75" s="56">
        <v>311</v>
      </c>
      <c r="B75" s="54" t="s">
        <v>111</v>
      </c>
      <c r="C75" s="57">
        <v>150</v>
      </c>
      <c r="D75" s="41"/>
      <c r="E75" s="41"/>
      <c r="F75" s="41">
        <v>1</v>
      </c>
      <c r="G75" s="41"/>
      <c r="H75" s="41"/>
      <c r="I75" s="41">
        <f>70*1.5</f>
        <v>105</v>
      </c>
      <c r="J75" s="41"/>
      <c r="K75" s="41"/>
      <c r="L75" s="41"/>
      <c r="M75" s="42"/>
      <c r="N75" s="41"/>
      <c r="O75" s="41"/>
      <c r="P75" s="41"/>
      <c r="Q75" s="42"/>
      <c r="R75" s="41">
        <v>50</v>
      </c>
      <c r="S75" s="41"/>
      <c r="T75" s="41"/>
      <c r="U75" s="41"/>
      <c r="V75" s="41"/>
      <c r="W75" s="41">
        <v>5</v>
      </c>
      <c r="X75" s="41"/>
      <c r="Y75" s="41"/>
      <c r="Z75" s="41"/>
      <c r="AA75" s="41"/>
      <c r="AB75" s="41"/>
      <c r="AC75" s="41"/>
      <c r="AD75" s="41"/>
      <c r="AE75" s="41"/>
      <c r="AF75" s="41"/>
      <c r="AG75" s="42"/>
    </row>
    <row r="76" spans="1:33" s="83" customFormat="1" ht="10.5" customHeight="1" x14ac:dyDescent="0.25">
      <c r="A76" s="40"/>
      <c r="B76" s="42" t="s">
        <v>163</v>
      </c>
      <c r="C76" s="41">
        <v>100</v>
      </c>
      <c r="D76" s="41"/>
      <c r="E76" s="41"/>
      <c r="F76" s="41"/>
      <c r="G76" s="41"/>
      <c r="H76" s="41"/>
      <c r="I76" s="41"/>
      <c r="J76" s="41"/>
      <c r="K76" s="41"/>
      <c r="L76" s="41"/>
      <c r="M76" s="42"/>
      <c r="N76" s="41"/>
      <c r="O76" s="41"/>
      <c r="P76" s="41"/>
      <c r="Q76" s="41"/>
      <c r="R76" s="41"/>
      <c r="S76" s="41">
        <v>100</v>
      </c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</row>
    <row r="77" spans="1:33" s="83" customFormat="1" ht="10.95" customHeight="1" x14ac:dyDescent="0.25">
      <c r="A77" s="40"/>
      <c r="B77" s="42" t="s">
        <v>144</v>
      </c>
      <c r="C77" s="41">
        <v>200</v>
      </c>
      <c r="D77" s="41"/>
      <c r="E77" s="41"/>
      <c r="F77" s="41"/>
      <c r="G77" s="41"/>
      <c r="H77" s="41"/>
      <c r="I77" s="41"/>
      <c r="J77" s="41"/>
      <c r="K77" s="41">
        <v>80</v>
      </c>
      <c r="L77" s="41"/>
      <c r="M77" s="42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>
        <v>20</v>
      </c>
      <c r="AA77" s="41"/>
      <c r="AB77" s="41"/>
      <c r="AC77" s="41"/>
      <c r="AD77" s="41"/>
      <c r="AE77" s="41"/>
      <c r="AF77" s="41"/>
      <c r="AG77" s="42"/>
    </row>
    <row r="78" spans="1:33" s="83" customFormat="1" ht="10.5" customHeight="1" x14ac:dyDescent="0.25">
      <c r="A78" s="62"/>
      <c r="B78" s="42" t="s">
        <v>57</v>
      </c>
      <c r="C78" s="57">
        <v>60</v>
      </c>
      <c r="D78" s="41"/>
      <c r="E78" s="41">
        <v>60</v>
      </c>
      <c r="F78" s="41"/>
      <c r="G78" s="41"/>
      <c r="H78" s="41"/>
      <c r="I78" s="41"/>
      <c r="J78" s="41"/>
      <c r="K78" s="41"/>
      <c r="L78" s="41"/>
      <c r="M78" s="42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2"/>
    </row>
    <row r="79" spans="1:33" s="83" customFormat="1" ht="10.5" customHeight="1" x14ac:dyDescent="0.25">
      <c r="A79" s="40"/>
      <c r="B79" s="42" t="s">
        <v>58</v>
      </c>
      <c r="C79" s="41">
        <v>20</v>
      </c>
      <c r="D79" s="41">
        <v>20</v>
      </c>
      <c r="E79" s="41"/>
      <c r="F79" s="41"/>
      <c r="G79" s="41"/>
      <c r="H79" s="41"/>
      <c r="I79" s="41"/>
      <c r="J79" s="41"/>
      <c r="K79" s="41"/>
      <c r="L79" s="41"/>
      <c r="M79" s="42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2"/>
    </row>
    <row r="80" spans="1:33" s="83" customFormat="1" ht="10.5" customHeight="1" x14ac:dyDescent="0.25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2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2"/>
    </row>
    <row r="81" spans="1:97" s="85" customFormat="1" ht="10.5" customHeight="1" x14ac:dyDescent="0.25">
      <c r="A81" s="46"/>
      <c r="B81" s="47" t="s">
        <v>19</v>
      </c>
      <c r="C81" s="48">
        <f t="shared" ref="C81:AG81" si="8">SUM(C72:C80)</f>
        <v>870</v>
      </c>
      <c r="D81" s="48">
        <f t="shared" si="8"/>
        <v>20</v>
      </c>
      <c r="E81" s="48">
        <f t="shared" si="8"/>
        <v>60</v>
      </c>
      <c r="F81" s="48">
        <f t="shared" si="8"/>
        <v>3</v>
      </c>
      <c r="G81" s="48">
        <f t="shared" si="8"/>
        <v>0</v>
      </c>
      <c r="H81" s="48">
        <f t="shared" si="8"/>
        <v>0</v>
      </c>
      <c r="I81" s="48">
        <f t="shared" si="8"/>
        <v>125</v>
      </c>
      <c r="J81" s="48">
        <f t="shared" si="8"/>
        <v>139</v>
      </c>
      <c r="K81" s="48">
        <f t="shared" si="8"/>
        <v>80</v>
      </c>
      <c r="L81" s="48">
        <f t="shared" si="8"/>
        <v>0</v>
      </c>
      <c r="M81" s="48">
        <f t="shared" si="8"/>
        <v>0</v>
      </c>
      <c r="N81" s="48">
        <f t="shared" si="8"/>
        <v>0</v>
      </c>
      <c r="O81" s="48">
        <f t="shared" si="8"/>
        <v>0</v>
      </c>
      <c r="P81" s="48">
        <f t="shared" si="8"/>
        <v>0</v>
      </c>
      <c r="Q81" s="48">
        <f t="shared" si="8"/>
        <v>74</v>
      </c>
      <c r="R81" s="48">
        <f t="shared" si="8"/>
        <v>100</v>
      </c>
      <c r="S81" s="48">
        <f t="shared" si="8"/>
        <v>100</v>
      </c>
      <c r="T81" s="48">
        <f t="shared" si="8"/>
        <v>0</v>
      </c>
      <c r="U81" s="48">
        <f t="shared" si="8"/>
        <v>4</v>
      </c>
      <c r="V81" s="48">
        <f t="shared" si="8"/>
        <v>0</v>
      </c>
      <c r="W81" s="48">
        <f t="shared" si="8"/>
        <v>13</v>
      </c>
      <c r="X81" s="48">
        <f t="shared" si="8"/>
        <v>5</v>
      </c>
      <c r="Y81" s="48">
        <f t="shared" si="8"/>
        <v>0</v>
      </c>
      <c r="Z81" s="48">
        <f t="shared" si="8"/>
        <v>22.5</v>
      </c>
      <c r="AA81" s="48">
        <f t="shared" si="8"/>
        <v>0</v>
      </c>
      <c r="AB81" s="48">
        <f t="shared" si="8"/>
        <v>0</v>
      </c>
      <c r="AC81" s="48">
        <f t="shared" si="8"/>
        <v>0</v>
      </c>
      <c r="AD81" s="48">
        <f t="shared" si="8"/>
        <v>0</v>
      </c>
      <c r="AE81" s="48">
        <f t="shared" si="8"/>
        <v>0</v>
      </c>
      <c r="AF81" s="48">
        <f t="shared" si="8"/>
        <v>0</v>
      </c>
      <c r="AG81" s="48">
        <f t="shared" si="8"/>
        <v>0</v>
      </c>
    </row>
    <row r="82" spans="1:97" s="91" customFormat="1" ht="10.5" customHeight="1" x14ac:dyDescent="0.25">
      <c r="A82" s="49"/>
      <c r="B82" s="50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90"/>
    </row>
    <row r="83" spans="1:97" s="82" customFormat="1" ht="10.5" customHeight="1" x14ac:dyDescent="0.25">
      <c r="A83" s="157" t="s">
        <v>137</v>
      </c>
      <c r="B83" s="158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42"/>
    </row>
    <row r="84" spans="1:97" s="42" customFormat="1" ht="10.5" customHeight="1" x14ac:dyDescent="0.25">
      <c r="A84" s="44">
        <v>47</v>
      </c>
      <c r="B84" s="45" t="s">
        <v>179</v>
      </c>
      <c r="C84" s="42">
        <v>60</v>
      </c>
      <c r="J84" s="42">
        <f>(30.5+5)*1.2</f>
        <v>42.6</v>
      </c>
      <c r="K84" s="42">
        <v>10</v>
      </c>
      <c r="X84" s="42">
        <v>2.5</v>
      </c>
      <c r="Z84" s="42">
        <v>2.5</v>
      </c>
      <c r="AH84" s="93"/>
    </row>
    <row r="85" spans="1:97" ht="10.5" customHeight="1" x14ac:dyDescent="0.25">
      <c r="A85" s="51">
        <v>99</v>
      </c>
      <c r="B85" s="42" t="s">
        <v>162</v>
      </c>
      <c r="C85" s="42">
        <v>200</v>
      </c>
      <c r="I85" s="42">
        <v>35</v>
      </c>
      <c r="J85" s="42">
        <f>(8+4+4+3)*2</f>
        <v>38</v>
      </c>
      <c r="V85" s="42">
        <v>10</v>
      </c>
      <c r="W85" s="42">
        <v>5</v>
      </c>
      <c r="AG85" s="42"/>
    </row>
    <row r="86" spans="1:97" s="176" customFormat="1" ht="10.5" customHeight="1" x14ac:dyDescent="0.25">
      <c r="A86" s="110">
        <v>258</v>
      </c>
      <c r="B86" s="54" t="s">
        <v>145</v>
      </c>
      <c r="C86" s="104">
        <v>173</v>
      </c>
      <c r="I86" s="176">
        <v>100</v>
      </c>
      <c r="J86" s="176">
        <f>(10+6)</f>
        <v>16</v>
      </c>
      <c r="M86" s="177"/>
      <c r="N86" s="176">
        <v>79</v>
      </c>
      <c r="X86" s="176">
        <v>6</v>
      </c>
      <c r="AH86" s="177"/>
      <c r="AI86" s="177"/>
      <c r="AJ86" s="177"/>
      <c r="AK86" s="177"/>
      <c r="AL86" s="177"/>
      <c r="AM86" s="177"/>
      <c r="AN86" s="177"/>
      <c r="AO86" s="177"/>
      <c r="AP86" s="177"/>
      <c r="AQ86" s="177"/>
      <c r="AR86" s="177"/>
      <c r="AS86" s="177"/>
      <c r="AT86" s="177"/>
      <c r="AU86" s="177"/>
      <c r="AV86" s="177"/>
      <c r="AW86" s="177"/>
      <c r="AX86" s="177"/>
      <c r="AY86" s="177"/>
      <c r="AZ86" s="177"/>
      <c r="BA86" s="177"/>
      <c r="BB86" s="177"/>
      <c r="BC86" s="177"/>
      <c r="BD86" s="177"/>
      <c r="BE86" s="177"/>
      <c r="BF86" s="177"/>
      <c r="BG86" s="177"/>
      <c r="BH86" s="177"/>
      <c r="BI86" s="177"/>
      <c r="BJ86" s="177"/>
      <c r="BK86" s="177"/>
      <c r="BL86" s="177"/>
      <c r="BM86" s="177"/>
      <c r="BN86" s="177"/>
      <c r="BO86" s="177"/>
      <c r="BP86" s="177"/>
      <c r="BQ86" s="177"/>
      <c r="BR86" s="177"/>
      <c r="BS86" s="177"/>
      <c r="BT86" s="177"/>
      <c r="BU86" s="177"/>
      <c r="BV86" s="177"/>
      <c r="BW86" s="177"/>
      <c r="BX86" s="177"/>
      <c r="BY86" s="177"/>
      <c r="BZ86" s="177"/>
      <c r="CA86" s="177"/>
      <c r="CB86" s="177"/>
      <c r="CC86" s="177"/>
      <c r="CD86" s="177"/>
      <c r="CE86" s="177"/>
      <c r="CF86" s="177"/>
      <c r="CG86" s="177"/>
      <c r="CH86" s="177"/>
      <c r="CI86" s="177"/>
      <c r="CJ86" s="177"/>
      <c r="CK86" s="177"/>
      <c r="CL86" s="177"/>
      <c r="CM86" s="177"/>
      <c r="CN86" s="177"/>
      <c r="CO86" s="177"/>
      <c r="CP86" s="177"/>
      <c r="CQ86" s="177"/>
      <c r="CR86" s="177"/>
      <c r="CS86" s="177"/>
    </row>
    <row r="87" spans="1:97" s="83" customFormat="1" ht="10.5" customHeight="1" x14ac:dyDescent="0.25">
      <c r="A87" s="55">
        <v>20</v>
      </c>
      <c r="B87" s="42" t="s">
        <v>147</v>
      </c>
      <c r="C87" s="41">
        <v>200</v>
      </c>
      <c r="D87" s="41"/>
      <c r="E87" s="41"/>
      <c r="F87" s="41"/>
      <c r="G87" s="41"/>
      <c r="H87" s="41"/>
      <c r="I87" s="41"/>
      <c r="J87" s="41"/>
      <c r="K87" s="41"/>
      <c r="L87" s="41">
        <v>20</v>
      </c>
      <c r="M87" s="42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>
        <v>20</v>
      </c>
      <c r="AA87" s="41"/>
      <c r="AB87" s="41"/>
      <c r="AC87" s="41"/>
      <c r="AD87" s="41"/>
      <c r="AE87" s="41"/>
      <c r="AF87" s="41"/>
      <c r="AG87" s="42"/>
    </row>
    <row r="88" spans="1:97" ht="10.5" customHeight="1" x14ac:dyDescent="0.25">
      <c r="B88" s="42" t="s">
        <v>153</v>
      </c>
      <c r="C88" s="42">
        <v>20</v>
      </c>
      <c r="AA88" s="42">
        <v>20</v>
      </c>
    </row>
    <row r="89" spans="1:97" s="83" customFormat="1" ht="10.5" customHeight="1" x14ac:dyDescent="0.25">
      <c r="A89" s="62"/>
      <c r="B89" s="42" t="s">
        <v>57</v>
      </c>
      <c r="C89" s="41">
        <v>60</v>
      </c>
      <c r="D89" s="41"/>
      <c r="E89" s="41">
        <v>60</v>
      </c>
      <c r="F89" s="41"/>
      <c r="G89" s="41"/>
      <c r="H89" s="41"/>
      <c r="I89" s="41"/>
      <c r="J89" s="41"/>
      <c r="K89" s="41"/>
      <c r="L89" s="41"/>
      <c r="M89" s="42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2"/>
    </row>
    <row r="90" spans="1:97" s="83" customFormat="1" ht="10.5" customHeight="1" x14ac:dyDescent="0.25">
      <c r="A90" s="55"/>
      <c r="B90" s="42" t="s">
        <v>58</v>
      </c>
      <c r="C90" s="41">
        <v>20</v>
      </c>
      <c r="D90" s="41">
        <v>20</v>
      </c>
      <c r="E90" s="41"/>
      <c r="F90" s="41"/>
      <c r="G90" s="41"/>
      <c r="H90" s="41"/>
      <c r="I90" s="41"/>
      <c r="J90" s="41"/>
      <c r="K90" s="41"/>
      <c r="L90" s="41"/>
      <c r="M90" s="42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2"/>
    </row>
    <row r="91" spans="1:97" s="85" customFormat="1" ht="10.5" customHeight="1" x14ac:dyDescent="0.25">
      <c r="A91" s="46"/>
      <c r="B91" s="52" t="s">
        <v>19</v>
      </c>
      <c r="C91" s="48">
        <f t="shared" ref="C91:AG91" si="9">SUM(C84:C90)</f>
        <v>733</v>
      </c>
      <c r="D91" s="48">
        <f t="shared" si="9"/>
        <v>20</v>
      </c>
      <c r="E91" s="48">
        <f>SUM(E84:E90)</f>
        <v>60</v>
      </c>
      <c r="F91" s="48">
        <f t="shared" si="9"/>
        <v>0</v>
      </c>
      <c r="G91" s="48">
        <f t="shared" si="9"/>
        <v>0</v>
      </c>
      <c r="H91" s="48">
        <f t="shared" si="9"/>
        <v>0</v>
      </c>
      <c r="I91" s="48">
        <f t="shared" si="9"/>
        <v>135</v>
      </c>
      <c r="J91" s="48">
        <f t="shared" si="9"/>
        <v>96.6</v>
      </c>
      <c r="K91" s="48">
        <f t="shared" si="9"/>
        <v>10</v>
      </c>
      <c r="L91" s="48">
        <f t="shared" si="9"/>
        <v>20</v>
      </c>
      <c r="M91" s="48">
        <f t="shared" si="9"/>
        <v>0</v>
      </c>
      <c r="N91" s="48">
        <f t="shared" si="9"/>
        <v>79</v>
      </c>
      <c r="O91" s="48">
        <f t="shared" si="9"/>
        <v>0</v>
      </c>
      <c r="P91" s="48">
        <f t="shared" si="9"/>
        <v>0</v>
      </c>
      <c r="Q91" s="48">
        <f t="shared" si="9"/>
        <v>0</v>
      </c>
      <c r="R91" s="48">
        <f t="shared" si="9"/>
        <v>0</v>
      </c>
      <c r="S91" s="48">
        <f t="shared" si="9"/>
        <v>0</v>
      </c>
      <c r="T91" s="48">
        <f t="shared" si="9"/>
        <v>0</v>
      </c>
      <c r="U91" s="48">
        <f t="shared" si="9"/>
        <v>0</v>
      </c>
      <c r="V91" s="48">
        <f t="shared" si="9"/>
        <v>10</v>
      </c>
      <c r="W91" s="48">
        <f t="shared" si="9"/>
        <v>5</v>
      </c>
      <c r="X91" s="48">
        <f t="shared" si="9"/>
        <v>8.5</v>
      </c>
      <c r="Y91" s="48">
        <f t="shared" si="9"/>
        <v>0</v>
      </c>
      <c r="Z91" s="48">
        <f t="shared" si="9"/>
        <v>22.5</v>
      </c>
      <c r="AA91" s="48">
        <f t="shared" si="9"/>
        <v>20</v>
      </c>
      <c r="AB91" s="48">
        <f t="shared" si="9"/>
        <v>0</v>
      </c>
      <c r="AC91" s="48">
        <f t="shared" si="9"/>
        <v>0</v>
      </c>
      <c r="AD91" s="48">
        <f t="shared" si="9"/>
        <v>0</v>
      </c>
      <c r="AE91" s="48">
        <f t="shared" si="9"/>
        <v>0</v>
      </c>
      <c r="AF91" s="48">
        <f t="shared" si="9"/>
        <v>0</v>
      </c>
      <c r="AG91" s="48">
        <f t="shared" si="9"/>
        <v>0</v>
      </c>
    </row>
    <row r="92" spans="1:97" s="91" customFormat="1" ht="10.5" customHeight="1" x14ac:dyDescent="0.25">
      <c r="A92" s="68"/>
      <c r="B92" s="69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90"/>
    </row>
    <row r="93" spans="1:97" s="82" customFormat="1" ht="10.5" customHeight="1" x14ac:dyDescent="0.25">
      <c r="A93" s="157" t="s">
        <v>138</v>
      </c>
      <c r="B93" s="158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42"/>
    </row>
    <row r="94" spans="1:97" s="83" customFormat="1" ht="10.5" customHeight="1" x14ac:dyDescent="0.25">
      <c r="A94" s="40">
        <v>50</v>
      </c>
      <c r="B94" s="42" t="s">
        <v>180</v>
      </c>
      <c r="C94" s="41">
        <v>60</v>
      </c>
      <c r="D94" s="41"/>
      <c r="E94" s="41"/>
      <c r="F94" s="41"/>
      <c r="G94" s="41"/>
      <c r="H94" s="41"/>
      <c r="I94" s="41"/>
      <c r="J94" s="41">
        <f>40*1.2</f>
        <v>48</v>
      </c>
      <c r="K94" s="41"/>
      <c r="L94" s="41"/>
      <c r="M94" s="42"/>
      <c r="N94" s="41"/>
      <c r="O94" s="41"/>
      <c r="P94" s="41"/>
      <c r="Q94" s="41"/>
      <c r="R94" s="41"/>
      <c r="S94" s="41"/>
      <c r="T94" s="41"/>
      <c r="U94" s="41">
        <v>10</v>
      </c>
      <c r="V94" s="41"/>
      <c r="W94" s="41"/>
      <c r="X94" s="41">
        <v>3</v>
      </c>
      <c r="Y94" s="41"/>
      <c r="Z94" s="41"/>
      <c r="AA94" s="41"/>
      <c r="AB94" s="41"/>
      <c r="AC94" s="41"/>
      <c r="AD94" s="41"/>
      <c r="AE94" s="41"/>
      <c r="AF94" s="41"/>
      <c r="AG94" s="42"/>
    </row>
    <row r="95" spans="1:97" s="83" customFormat="1" ht="10.5" customHeight="1" x14ac:dyDescent="0.25">
      <c r="A95" s="40"/>
      <c r="B95" s="54" t="s">
        <v>152</v>
      </c>
      <c r="C95" s="41">
        <v>200</v>
      </c>
      <c r="D95" s="41"/>
      <c r="E95" s="41"/>
      <c r="F95" s="41"/>
      <c r="G95" s="41">
        <v>16</v>
      </c>
      <c r="H95" s="41"/>
      <c r="I95" s="41">
        <v>20</v>
      </c>
      <c r="J95" s="41">
        <f>6+6+2</f>
        <v>14</v>
      </c>
      <c r="K95" s="41"/>
      <c r="L95" s="41"/>
      <c r="M95" s="42"/>
      <c r="N95" s="41"/>
      <c r="O95" s="41"/>
      <c r="P95" s="41"/>
      <c r="Q95" s="41"/>
      <c r="R95" s="41"/>
      <c r="S95" s="41"/>
      <c r="T95" s="41"/>
      <c r="U95" s="41"/>
      <c r="V95" s="41"/>
      <c r="W95" s="41">
        <v>5</v>
      </c>
      <c r="X95" s="41"/>
      <c r="Y95" s="41"/>
      <c r="Z95" s="41"/>
      <c r="AA95" s="41"/>
      <c r="AB95" s="41"/>
      <c r="AC95" s="41"/>
      <c r="AD95" s="41"/>
      <c r="AE95" s="41"/>
      <c r="AF95" s="41"/>
      <c r="AG95" s="42"/>
    </row>
    <row r="96" spans="1:97" s="83" customFormat="1" ht="10.5" customHeight="1" x14ac:dyDescent="0.25">
      <c r="A96" s="56">
        <v>294</v>
      </c>
      <c r="B96" s="54" t="s">
        <v>157</v>
      </c>
      <c r="C96" s="57">
        <v>80</v>
      </c>
      <c r="D96" s="41"/>
      <c r="E96" s="41">
        <f>19*1.5</f>
        <v>28.5</v>
      </c>
      <c r="F96" s="41"/>
      <c r="G96" s="41"/>
      <c r="H96" s="41"/>
      <c r="I96" s="41"/>
      <c r="J96" s="84"/>
      <c r="K96" s="41"/>
      <c r="L96" s="41"/>
      <c r="M96" s="42"/>
      <c r="N96" s="41"/>
      <c r="O96" s="41"/>
      <c r="P96" s="41">
        <v>54</v>
      </c>
      <c r="Q96" s="41"/>
      <c r="R96" s="41">
        <v>22</v>
      </c>
      <c r="S96" s="41"/>
      <c r="T96" s="41"/>
      <c r="U96" s="41"/>
      <c r="V96" s="41"/>
      <c r="W96" s="41">
        <v>5</v>
      </c>
      <c r="X96" s="41">
        <v>3</v>
      </c>
      <c r="Y96" s="41"/>
      <c r="Z96" s="41"/>
      <c r="AA96" s="41"/>
      <c r="AB96" s="41"/>
      <c r="AC96" s="41"/>
      <c r="AD96" s="41"/>
      <c r="AE96" s="41"/>
      <c r="AF96" s="41"/>
      <c r="AG96" s="42"/>
    </row>
    <row r="97" spans="1:33" s="83" customFormat="1" ht="10.5" customHeight="1" x14ac:dyDescent="0.25">
      <c r="A97" s="62">
        <v>205</v>
      </c>
      <c r="B97" s="54" t="s">
        <v>154</v>
      </c>
      <c r="C97" s="57">
        <v>140</v>
      </c>
      <c r="D97" s="41"/>
      <c r="E97" s="41"/>
      <c r="F97" s="41"/>
      <c r="G97" s="41"/>
      <c r="H97" s="41">
        <v>39</v>
      </c>
      <c r="I97" s="41"/>
      <c r="J97" s="41">
        <f>10+8+8</f>
        <v>26</v>
      </c>
      <c r="K97" s="41"/>
      <c r="L97" s="41"/>
      <c r="M97" s="42"/>
      <c r="N97" s="41"/>
      <c r="O97" s="41"/>
      <c r="P97" s="41"/>
      <c r="Q97" s="41"/>
      <c r="R97" s="41"/>
      <c r="S97" s="41"/>
      <c r="T97" s="41"/>
      <c r="U97" s="41"/>
      <c r="V97" s="41"/>
      <c r="W97" s="41">
        <v>5</v>
      </c>
      <c r="X97" s="41"/>
      <c r="Y97" s="41"/>
      <c r="Z97" s="41"/>
      <c r="AA97" s="41"/>
      <c r="AB97" s="41"/>
      <c r="AC97" s="41"/>
      <c r="AD97" s="41"/>
      <c r="AE97" s="41"/>
      <c r="AF97" s="41"/>
      <c r="AG97" s="42"/>
    </row>
    <row r="98" spans="1:33" s="83" customFormat="1" ht="10.5" customHeight="1" x14ac:dyDescent="0.25">
      <c r="A98" s="40"/>
      <c r="B98" s="42" t="s">
        <v>165</v>
      </c>
      <c r="C98" s="41">
        <v>115</v>
      </c>
      <c r="D98" s="41"/>
      <c r="E98" s="41"/>
      <c r="F98" s="41"/>
      <c r="G98" s="41"/>
      <c r="H98" s="41"/>
      <c r="I98" s="41"/>
      <c r="J98" s="41"/>
      <c r="K98" s="41"/>
      <c r="L98" s="41"/>
      <c r="M98" s="42"/>
      <c r="N98" s="41"/>
      <c r="O98" s="41"/>
      <c r="P98" s="41"/>
      <c r="Q98" s="41"/>
      <c r="R98" s="41"/>
      <c r="S98" s="41">
        <v>115</v>
      </c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</row>
    <row r="99" spans="1:33" s="83" customFormat="1" ht="10.5" customHeight="1" x14ac:dyDescent="0.25">
      <c r="A99" s="55">
        <v>389</v>
      </c>
      <c r="B99" s="42" t="s">
        <v>95</v>
      </c>
      <c r="C99" s="41">
        <v>200</v>
      </c>
      <c r="D99" s="41"/>
      <c r="E99" s="41"/>
      <c r="F99" s="41"/>
      <c r="G99" s="41"/>
      <c r="H99" s="41"/>
      <c r="I99" s="41"/>
      <c r="J99" s="41"/>
      <c r="K99" s="41"/>
      <c r="L99" s="41"/>
      <c r="M99" s="42">
        <v>200</v>
      </c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2"/>
    </row>
    <row r="100" spans="1:33" ht="10.5" customHeight="1" x14ac:dyDescent="0.25">
      <c r="B100" s="42" t="s">
        <v>57</v>
      </c>
      <c r="C100" s="42">
        <v>40</v>
      </c>
      <c r="E100" s="42">
        <v>40</v>
      </c>
      <c r="AG100" s="42"/>
    </row>
    <row r="101" spans="1:33" ht="10.5" customHeight="1" x14ac:dyDescent="0.25">
      <c r="B101" s="42" t="s">
        <v>58</v>
      </c>
      <c r="C101" s="42">
        <v>40</v>
      </c>
      <c r="D101" s="42">
        <v>40</v>
      </c>
      <c r="AG101" s="42"/>
    </row>
    <row r="102" spans="1:33" ht="10.5" customHeight="1" x14ac:dyDescent="0.25">
      <c r="AG102" s="42"/>
    </row>
    <row r="103" spans="1:33" s="85" customFormat="1" ht="10.5" customHeight="1" x14ac:dyDescent="0.25">
      <c r="A103" s="46"/>
      <c r="B103" s="52" t="s">
        <v>19</v>
      </c>
      <c r="C103" s="48">
        <f>SUM(C94:C102)</f>
        <v>875</v>
      </c>
      <c r="D103" s="48">
        <f t="shared" ref="D103:AG103" si="10">SUM(D94:D102)</f>
        <v>40</v>
      </c>
      <c r="E103" s="48">
        <f t="shared" si="10"/>
        <v>68.5</v>
      </c>
      <c r="F103" s="48">
        <f t="shared" si="10"/>
        <v>0</v>
      </c>
      <c r="G103" s="48">
        <f t="shared" si="10"/>
        <v>16</v>
      </c>
      <c r="H103" s="48">
        <f t="shared" si="10"/>
        <v>39</v>
      </c>
      <c r="I103" s="48">
        <f t="shared" si="10"/>
        <v>20</v>
      </c>
      <c r="J103" s="48">
        <f t="shared" si="10"/>
        <v>88</v>
      </c>
      <c r="K103" s="48">
        <f t="shared" si="10"/>
        <v>0</v>
      </c>
      <c r="L103" s="48">
        <f t="shared" si="10"/>
        <v>0</v>
      </c>
      <c r="M103" s="48">
        <f t="shared" si="10"/>
        <v>200</v>
      </c>
      <c r="N103" s="48">
        <f t="shared" si="10"/>
        <v>0</v>
      </c>
      <c r="O103" s="48">
        <f t="shared" si="10"/>
        <v>0</v>
      </c>
      <c r="P103" s="48">
        <f t="shared" si="10"/>
        <v>54</v>
      </c>
      <c r="Q103" s="48">
        <f t="shared" si="10"/>
        <v>0</v>
      </c>
      <c r="R103" s="48">
        <f t="shared" si="10"/>
        <v>22</v>
      </c>
      <c r="S103" s="48">
        <f t="shared" si="10"/>
        <v>115</v>
      </c>
      <c r="T103" s="48">
        <f t="shared" si="10"/>
        <v>0</v>
      </c>
      <c r="U103" s="48">
        <f t="shared" si="10"/>
        <v>10</v>
      </c>
      <c r="V103" s="48">
        <f t="shared" si="10"/>
        <v>0</v>
      </c>
      <c r="W103" s="48">
        <f t="shared" si="10"/>
        <v>15</v>
      </c>
      <c r="X103" s="48">
        <f t="shared" si="10"/>
        <v>6</v>
      </c>
      <c r="Y103" s="48">
        <f t="shared" si="10"/>
        <v>0</v>
      </c>
      <c r="Z103" s="48">
        <f t="shared" si="10"/>
        <v>0</v>
      </c>
      <c r="AA103" s="48">
        <f t="shared" si="10"/>
        <v>0</v>
      </c>
      <c r="AB103" s="48">
        <f t="shared" si="10"/>
        <v>0</v>
      </c>
      <c r="AC103" s="48">
        <f t="shared" si="10"/>
        <v>0</v>
      </c>
      <c r="AD103" s="48">
        <f t="shared" si="10"/>
        <v>0</v>
      </c>
      <c r="AE103" s="48">
        <f t="shared" si="10"/>
        <v>0</v>
      </c>
      <c r="AF103" s="48">
        <f t="shared" si="10"/>
        <v>0</v>
      </c>
      <c r="AG103" s="48">
        <f t="shared" si="10"/>
        <v>0</v>
      </c>
    </row>
    <row r="104" spans="1:33" s="91" customFormat="1" ht="10.5" customHeight="1" x14ac:dyDescent="0.25">
      <c r="A104" s="68"/>
      <c r="B104" s="69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90"/>
    </row>
    <row r="105" spans="1:33" s="5" customFormat="1" ht="10.5" customHeight="1" x14ac:dyDescent="0.25">
      <c r="A105" s="153"/>
      <c r="B105" s="154" t="s">
        <v>139</v>
      </c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0"/>
    </row>
    <row r="106" spans="1:33" ht="10.5" customHeight="1" x14ac:dyDescent="0.25">
      <c r="A106" s="51">
        <v>133</v>
      </c>
      <c r="B106" s="42" t="s">
        <v>104</v>
      </c>
      <c r="C106" s="42">
        <v>60</v>
      </c>
      <c r="J106" s="42">
        <v>60</v>
      </c>
      <c r="W106" s="42">
        <v>2.5</v>
      </c>
      <c r="AG106" s="42"/>
    </row>
    <row r="107" spans="1:33" s="42" customFormat="1" ht="10.95" customHeight="1" x14ac:dyDescent="0.25">
      <c r="A107" s="44" t="s">
        <v>133</v>
      </c>
      <c r="B107" s="45" t="s">
        <v>115</v>
      </c>
      <c r="C107" s="42">
        <v>200</v>
      </c>
      <c r="I107" s="42">
        <v>30</v>
      </c>
      <c r="J107" s="42">
        <f>14+10+8</f>
        <v>32</v>
      </c>
      <c r="N107" s="42">
        <v>15</v>
      </c>
      <c r="O107" s="42">
        <v>22</v>
      </c>
      <c r="W107" s="42">
        <v>5</v>
      </c>
    </row>
    <row r="108" spans="1:33" s="83" customFormat="1" ht="10.5" customHeight="1" x14ac:dyDescent="0.25">
      <c r="A108" s="96" t="s">
        <v>155</v>
      </c>
      <c r="B108" s="54" t="s">
        <v>156</v>
      </c>
      <c r="C108" s="57">
        <v>100</v>
      </c>
      <c r="D108" s="57"/>
      <c r="E108" s="57">
        <v>10</v>
      </c>
      <c r="F108" s="57">
        <f>2+2.25</f>
        <v>4.25</v>
      </c>
      <c r="G108" s="57"/>
      <c r="H108" s="57"/>
      <c r="I108" s="57"/>
      <c r="J108" s="57">
        <v>7</v>
      </c>
      <c r="K108" s="57"/>
      <c r="L108" s="57"/>
      <c r="M108" s="54"/>
      <c r="N108" s="57"/>
      <c r="O108" s="57"/>
      <c r="P108" s="57"/>
      <c r="Q108" s="57">
        <f>36*1.6</f>
        <v>57.6</v>
      </c>
      <c r="R108" s="57">
        <v>20</v>
      </c>
      <c r="S108" s="57"/>
      <c r="T108" s="57"/>
      <c r="U108" s="57"/>
      <c r="V108" s="57">
        <v>7.5</v>
      </c>
      <c r="W108" s="57"/>
      <c r="X108" s="57">
        <v>5</v>
      </c>
      <c r="Y108" s="57"/>
      <c r="Z108" s="57"/>
      <c r="AA108" s="57"/>
      <c r="AB108" s="57"/>
      <c r="AC108" s="57"/>
      <c r="AD108" s="57"/>
      <c r="AE108" s="57"/>
      <c r="AF108" s="57"/>
      <c r="AG108" s="57"/>
    </row>
    <row r="109" spans="1:33" s="83" customFormat="1" ht="10.5" customHeight="1" x14ac:dyDescent="0.25">
      <c r="A109" s="40"/>
      <c r="B109" s="6" t="s">
        <v>158</v>
      </c>
      <c r="C109" s="41">
        <v>150</v>
      </c>
      <c r="D109" s="41"/>
      <c r="E109" s="41"/>
      <c r="F109" s="41"/>
      <c r="G109" s="41">
        <v>26</v>
      </c>
      <c r="H109" s="41"/>
      <c r="I109" s="41"/>
      <c r="J109" s="41">
        <v>30.4</v>
      </c>
      <c r="K109" s="41"/>
      <c r="L109" s="41"/>
      <c r="M109" s="42"/>
      <c r="N109" s="41"/>
      <c r="O109" s="41"/>
      <c r="P109" s="41"/>
      <c r="Q109" s="41"/>
      <c r="R109" s="41">
        <v>40</v>
      </c>
      <c r="S109" s="41"/>
      <c r="T109" s="41"/>
      <c r="U109" s="41"/>
      <c r="V109" s="41"/>
      <c r="W109" s="41">
        <v>5</v>
      </c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</row>
    <row r="110" spans="1:33" s="83" customFormat="1" ht="10.5" customHeight="1" x14ac:dyDescent="0.25">
      <c r="A110" s="40">
        <v>374</v>
      </c>
      <c r="B110" s="42" t="s">
        <v>108</v>
      </c>
      <c r="C110" s="41">
        <v>100</v>
      </c>
      <c r="D110" s="41"/>
      <c r="E110" s="41">
        <v>35</v>
      </c>
      <c r="F110" s="41"/>
      <c r="G110" s="41"/>
      <c r="H110" s="41"/>
      <c r="I110" s="41"/>
      <c r="J110" s="41"/>
      <c r="K110" s="41">
        <v>35</v>
      </c>
      <c r="L110" s="41"/>
      <c r="M110" s="42"/>
      <c r="N110" s="41"/>
      <c r="O110" s="41"/>
      <c r="P110" s="41"/>
      <c r="Q110" s="41"/>
      <c r="R110" s="41">
        <v>30</v>
      </c>
      <c r="S110" s="41"/>
      <c r="T110" s="41"/>
      <c r="U110" s="41"/>
      <c r="V110" s="41"/>
      <c r="W110" s="41">
        <v>5</v>
      </c>
      <c r="X110" s="41"/>
      <c r="Y110" s="41">
        <v>6</v>
      </c>
      <c r="Z110" s="41">
        <v>20</v>
      </c>
      <c r="AA110" s="41"/>
      <c r="AB110" s="41"/>
      <c r="AC110" s="41"/>
      <c r="AD110" s="41"/>
      <c r="AE110" s="41"/>
      <c r="AF110" s="41"/>
      <c r="AG110" s="42"/>
    </row>
    <row r="111" spans="1:33" s="83" customFormat="1" ht="10.5" customHeight="1" x14ac:dyDescent="0.25">
      <c r="A111" s="55"/>
      <c r="B111" s="42" t="s">
        <v>140</v>
      </c>
      <c r="C111" s="41">
        <v>200</v>
      </c>
      <c r="D111" s="41"/>
      <c r="E111" s="41"/>
      <c r="F111" s="41"/>
      <c r="G111" s="41"/>
      <c r="H111" s="41"/>
      <c r="I111" s="41"/>
      <c r="J111" s="41"/>
      <c r="K111" s="41"/>
      <c r="L111" s="41"/>
      <c r="M111" s="6"/>
      <c r="N111" s="41"/>
      <c r="O111" s="41"/>
      <c r="P111" s="41"/>
      <c r="Q111" s="41"/>
      <c r="R111" s="41">
        <v>202</v>
      </c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2"/>
    </row>
    <row r="112" spans="1:33" ht="10.5" customHeight="1" x14ac:dyDescent="0.25">
      <c r="B112" s="42" t="s">
        <v>57</v>
      </c>
      <c r="C112" s="42">
        <v>40</v>
      </c>
      <c r="E112" s="42">
        <v>40</v>
      </c>
      <c r="AG112" s="42"/>
    </row>
    <row r="113" spans="1:34" s="83" customFormat="1" ht="10.5" customHeight="1" x14ac:dyDescent="0.25">
      <c r="A113" s="55"/>
      <c r="B113" s="42" t="s">
        <v>58</v>
      </c>
      <c r="C113" s="41">
        <v>40</v>
      </c>
      <c r="D113" s="41">
        <v>40</v>
      </c>
      <c r="E113" s="41"/>
      <c r="F113" s="41"/>
      <c r="G113" s="41"/>
      <c r="H113" s="41"/>
      <c r="I113" s="41"/>
      <c r="J113" s="41"/>
      <c r="K113" s="41"/>
      <c r="L113" s="41"/>
      <c r="M113" s="42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2"/>
    </row>
    <row r="114" spans="1:34" s="83" customFormat="1" ht="10.5" customHeight="1" x14ac:dyDescent="0.25">
      <c r="A114" s="55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2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2"/>
    </row>
    <row r="115" spans="1:34" s="85" customFormat="1" ht="10.5" customHeight="1" x14ac:dyDescent="0.25">
      <c r="A115" s="46"/>
      <c r="B115" s="52" t="s">
        <v>19</v>
      </c>
      <c r="C115" s="48">
        <f>SUM(C106:C114)</f>
        <v>890</v>
      </c>
      <c r="D115" s="48">
        <f t="shared" ref="D115:AG115" si="11">SUM(D106:D114)</f>
        <v>40</v>
      </c>
      <c r="E115" s="48">
        <f t="shared" si="11"/>
        <v>85</v>
      </c>
      <c r="F115" s="48">
        <f t="shared" si="11"/>
        <v>4.25</v>
      </c>
      <c r="G115" s="48">
        <f t="shared" si="11"/>
        <v>26</v>
      </c>
      <c r="H115" s="48">
        <f t="shared" si="11"/>
        <v>0</v>
      </c>
      <c r="I115" s="48">
        <f t="shared" si="11"/>
        <v>30</v>
      </c>
      <c r="J115" s="48">
        <f t="shared" si="11"/>
        <v>129.4</v>
      </c>
      <c r="K115" s="48">
        <f t="shared" si="11"/>
        <v>35</v>
      </c>
      <c r="L115" s="48">
        <f t="shared" si="11"/>
        <v>0</v>
      </c>
      <c r="M115" s="48">
        <f t="shared" si="11"/>
        <v>0</v>
      </c>
      <c r="N115" s="48">
        <f t="shared" si="11"/>
        <v>15</v>
      </c>
      <c r="O115" s="48">
        <f t="shared" si="11"/>
        <v>22</v>
      </c>
      <c r="P115" s="48">
        <f t="shared" si="11"/>
        <v>0</v>
      </c>
      <c r="Q115" s="48">
        <f t="shared" si="11"/>
        <v>57.6</v>
      </c>
      <c r="R115" s="48">
        <f t="shared" si="11"/>
        <v>292</v>
      </c>
      <c r="S115" s="48">
        <f t="shared" si="11"/>
        <v>0</v>
      </c>
      <c r="T115" s="48">
        <f t="shared" si="11"/>
        <v>0</v>
      </c>
      <c r="U115" s="48">
        <f t="shared" si="11"/>
        <v>0</v>
      </c>
      <c r="V115" s="48">
        <f t="shared" si="11"/>
        <v>7.5</v>
      </c>
      <c r="W115" s="48">
        <f t="shared" si="11"/>
        <v>17.5</v>
      </c>
      <c r="X115" s="48">
        <f t="shared" si="11"/>
        <v>5</v>
      </c>
      <c r="Y115" s="48">
        <f t="shared" si="11"/>
        <v>6</v>
      </c>
      <c r="Z115" s="48">
        <f t="shared" si="11"/>
        <v>20</v>
      </c>
      <c r="AA115" s="48">
        <f t="shared" si="11"/>
        <v>0</v>
      </c>
      <c r="AB115" s="48">
        <f t="shared" si="11"/>
        <v>0</v>
      </c>
      <c r="AC115" s="48">
        <f t="shared" si="11"/>
        <v>0</v>
      </c>
      <c r="AD115" s="48">
        <f t="shared" si="11"/>
        <v>0</v>
      </c>
      <c r="AE115" s="48">
        <f t="shared" si="11"/>
        <v>0</v>
      </c>
      <c r="AF115" s="48">
        <f t="shared" si="11"/>
        <v>0</v>
      </c>
      <c r="AG115" s="48">
        <f t="shared" si="11"/>
        <v>0</v>
      </c>
      <c r="AH115" s="48">
        <f>SUM(AH5:AH114)</f>
        <v>0</v>
      </c>
    </row>
    <row r="116" spans="1:34" s="83" customFormat="1" ht="10.5" customHeight="1" x14ac:dyDescent="0.25">
      <c r="A116" s="40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2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2"/>
    </row>
    <row r="117" spans="1:34" s="91" customFormat="1" ht="10.5" customHeight="1" x14ac:dyDescent="0.25">
      <c r="A117" s="49"/>
      <c r="B117" s="60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90"/>
    </row>
    <row r="118" spans="1:34" s="91" customFormat="1" ht="10.5" customHeight="1" x14ac:dyDescent="0.25">
      <c r="A118" s="49"/>
      <c r="B118" s="50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90"/>
    </row>
    <row r="119" spans="1:34" s="5" customFormat="1" ht="15.75" customHeight="1" x14ac:dyDescent="0.25">
      <c r="A119" s="97"/>
      <c r="B119" s="98" t="s">
        <v>56</v>
      </c>
      <c r="C119" s="81"/>
      <c r="D119" s="81">
        <f t="shared" ref="D119:AG119" si="12">D115+D69+D81+D91+D47+D58+D36+D103+D24+D12</f>
        <v>285</v>
      </c>
      <c r="E119" s="81">
        <f t="shared" si="12"/>
        <v>532.5</v>
      </c>
      <c r="F119" s="81">
        <f t="shared" si="12"/>
        <v>54.45</v>
      </c>
      <c r="G119" s="81">
        <f t="shared" si="12"/>
        <v>165</v>
      </c>
      <c r="H119" s="81">
        <f t="shared" si="12"/>
        <v>55</v>
      </c>
      <c r="I119" s="81">
        <f t="shared" si="12"/>
        <v>687.35</v>
      </c>
      <c r="J119" s="81">
        <f t="shared" si="12"/>
        <v>1018.4</v>
      </c>
      <c r="K119" s="81">
        <f t="shared" si="12"/>
        <v>635</v>
      </c>
      <c r="L119" s="81">
        <f t="shared" si="12"/>
        <v>54</v>
      </c>
      <c r="M119" s="81">
        <f t="shared" si="12"/>
        <v>680</v>
      </c>
      <c r="N119" s="81">
        <f t="shared" si="12"/>
        <v>254</v>
      </c>
      <c r="O119" s="81">
        <f t="shared" si="12"/>
        <v>54</v>
      </c>
      <c r="P119" s="81">
        <f t="shared" si="12"/>
        <v>127</v>
      </c>
      <c r="Q119" s="81">
        <f t="shared" si="12"/>
        <v>196.1</v>
      </c>
      <c r="R119" s="81">
        <f t="shared" si="12"/>
        <v>1003</v>
      </c>
      <c r="S119" s="81">
        <f t="shared" si="12"/>
        <v>530</v>
      </c>
      <c r="T119" s="81">
        <f t="shared" si="12"/>
        <v>174.79999999999998</v>
      </c>
      <c r="U119" s="81">
        <f t="shared" si="12"/>
        <v>34</v>
      </c>
      <c r="V119" s="81">
        <f t="shared" si="12"/>
        <v>35.5</v>
      </c>
      <c r="W119" s="81">
        <f t="shared" si="12"/>
        <v>109</v>
      </c>
      <c r="X119" s="81">
        <f t="shared" si="12"/>
        <v>54</v>
      </c>
      <c r="Y119" s="81">
        <f t="shared" si="12"/>
        <v>139.5</v>
      </c>
      <c r="Z119" s="81">
        <f t="shared" si="12"/>
        <v>133.63999999999999</v>
      </c>
      <c r="AA119" s="81">
        <f t="shared" si="12"/>
        <v>35</v>
      </c>
      <c r="AB119" s="81">
        <f t="shared" si="12"/>
        <v>0</v>
      </c>
      <c r="AC119" s="81">
        <f t="shared" si="12"/>
        <v>0</v>
      </c>
      <c r="AD119" s="81">
        <f t="shared" si="12"/>
        <v>1.5</v>
      </c>
      <c r="AE119" s="81">
        <f t="shared" si="12"/>
        <v>0</v>
      </c>
      <c r="AF119" s="81">
        <f t="shared" si="12"/>
        <v>0</v>
      </c>
      <c r="AG119" s="81">
        <f t="shared" si="12"/>
        <v>10</v>
      </c>
    </row>
    <row r="120" spans="1:34" s="5" customFormat="1" ht="14.25" customHeight="1" x14ac:dyDescent="0.25">
      <c r="A120" s="99"/>
      <c r="B120" s="100" t="s">
        <v>98</v>
      </c>
      <c r="C120" s="81"/>
      <c r="D120" s="81">
        <f>I129</f>
        <v>280</v>
      </c>
      <c r="E120" s="81">
        <f>I130</f>
        <v>525</v>
      </c>
      <c r="F120" s="81">
        <f>I131</f>
        <v>52.5</v>
      </c>
      <c r="G120" s="81">
        <f>I132</f>
        <v>157.49999999999997</v>
      </c>
      <c r="H120" s="81">
        <f>I133</f>
        <v>52.5</v>
      </c>
      <c r="I120" s="81">
        <f>I134</f>
        <v>658</v>
      </c>
      <c r="J120" s="81">
        <f>I135</f>
        <v>980</v>
      </c>
      <c r="K120" s="81">
        <f>I136</f>
        <v>647.5</v>
      </c>
      <c r="L120" s="81">
        <f>I137</f>
        <v>52.5</v>
      </c>
      <c r="M120" s="81">
        <f>I138</f>
        <v>700</v>
      </c>
      <c r="N120" s="81">
        <f>I139</f>
        <v>245</v>
      </c>
      <c r="O120" s="81">
        <f>I140</f>
        <v>52.5</v>
      </c>
      <c r="P120" s="81">
        <f>I141</f>
        <v>122.5</v>
      </c>
      <c r="Q120" s="81">
        <f>I142</f>
        <v>202.99999999999997</v>
      </c>
      <c r="R120" s="81">
        <f>I143</f>
        <v>1050</v>
      </c>
      <c r="S120" s="81">
        <f>I144</f>
        <v>525</v>
      </c>
      <c r="T120" s="81">
        <f>I145</f>
        <v>175</v>
      </c>
      <c r="U120" s="81">
        <f>I146</f>
        <v>34.300000000000004</v>
      </c>
      <c r="V120" s="81">
        <f>I147</f>
        <v>35</v>
      </c>
      <c r="W120" s="81">
        <f>I148</f>
        <v>105</v>
      </c>
      <c r="X120" s="81">
        <f>I149</f>
        <v>52.5</v>
      </c>
      <c r="Y120" s="81">
        <f>I150</f>
        <v>140</v>
      </c>
      <c r="Z120" s="81">
        <f>I151</f>
        <v>140</v>
      </c>
      <c r="AA120" s="81">
        <f>I152</f>
        <v>35</v>
      </c>
      <c r="AB120" s="81">
        <f>I153</f>
        <v>1.4</v>
      </c>
      <c r="AC120" s="81">
        <f>I154</f>
        <v>4.2</v>
      </c>
      <c r="AD120" s="81">
        <f>I156</f>
        <v>3.5</v>
      </c>
      <c r="AE120" s="81">
        <f>I157</f>
        <v>10.499999999999998</v>
      </c>
      <c r="AF120" s="81">
        <f>I158</f>
        <v>7</v>
      </c>
      <c r="AG120" s="81">
        <f>J158</f>
        <v>0</v>
      </c>
    </row>
    <row r="121" spans="1:34" ht="14.25" customHeight="1" x14ac:dyDescent="0.25">
      <c r="A121" s="111" t="s">
        <v>99</v>
      </c>
      <c r="B121" s="112"/>
      <c r="D121" s="42">
        <f>D120/12</f>
        <v>23.333333333333332</v>
      </c>
      <c r="E121" s="42">
        <f t="shared" ref="E121:AG121" si="13">E120/12</f>
        <v>43.75</v>
      </c>
      <c r="F121" s="42">
        <f t="shared" si="13"/>
        <v>4.375</v>
      </c>
      <c r="G121" s="42">
        <f t="shared" si="13"/>
        <v>13.124999999999998</v>
      </c>
      <c r="H121" s="42">
        <f t="shared" si="13"/>
        <v>4.375</v>
      </c>
      <c r="I121" s="42">
        <f t="shared" si="13"/>
        <v>54.833333333333336</v>
      </c>
      <c r="J121" s="42">
        <f t="shared" si="13"/>
        <v>81.666666666666671</v>
      </c>
      <c r="K121" s="42">
        <f t="shared" si="13"/>
        <v>53.958333333333336</v>
      </c>
      <c r="L121" s="42">
        <f t="shared" si="13"/>
        <v>4.375</v>
      </c>
      <c r="M121" s="42">
        <f t="shared" si="13"/>
        <v>58.333333333333336</v>
      </c>
      <c r="N121" s="42">
        <f t="shared" si="13"/>
        <v>20.416666666666668</v>
      </c>
      <c r="O121" s="42">
        <f t="shared" si="13"/>
        <v>4.375</v>
      </c>
      <c r="P121" s="42">
        <f t="shared" si="13"/>
        <v>10.208333333333334</v>
      </c>
      <c r="Q121" s="42">
        <f t="shared" si="13"/>
        <v>16.916666666666664</v>
      </c>
      <c r="R121" s="42">
        <f t="shared" si="13"/>
        <v>87.5</v>
      </c>
      <c r="S121" s="42">
        <f t="shared" si="13"/>
        <v>43.75</v>
      </c>
      <c r="T121" s="42">
        <f t="shared" si="13"/>
        <v>14.583333333333334</v>
      </c>
      <c r="U121" s="42">
        <f t="shared" si="13"/>
        <v>2.8583333333333338</v>
      </c>
      <c r="V121" s="42">
        <f t="shared" si="13"/>
        <v>2.9166666666666665</v>
      </c>
      <c r="W121" s="42">
        <f t="shared" si="13"/>
        <v>8.75</v>
      </c>
      <c r="X121" s="42">
        <f t="shared" si="13"/>
        <v>4.375</v>
      </c>
      <c r="Y121" s="42">
        <f t="shared" si="13"/>
        <v>11.666666666666666</v>
      </c>
      <c r="Z121" s="42">
        <f t="shared" si="13"/>
        <v>11.666666666666666</v>
      </c>
      <c r="AA121" s="42">
        <f t="shared" si="13"/>
        <v>2.9166666666666665</v>
      </c>
      <c r="AB121" s="42">
        <f t="shared" si="13"/>
        <v>0.11666666666666665</v>
      </c>
      <c r="AC121" s="42">
        <f t="shared" si="13"/>
        <v>0.35000000000000003</v>
      </c>
      <c r="AD121" s="42">
        <f t="shared" si="13"/>
        <v>0.29166666666666669</v>
      </c>
      <c r="AE121" s="42">
        <f t="shared" si="13"/>
        <v>0.87499999999999989</v>
      </c>
      <c r="AF121" s="42">
        <f t="shared" si="13"/>
        <v>0.58333333333333337</v>
      </c>
      <c r="AG121" s="42">
        <f t="shared" si="13"/>
        <v>0</v>
      </c>
    </row>
    <row r="122" spans="1:34" s="7" customFormat="1" ht="15" customHeight="1" x14ac:dyDescent="0.2">
      <c r="A122" s="101"/>
      <c r="B122" s="102" t="s">
        <v>20</v>
      </c>
      <c r="C122" s="102"/>
      <c r="D122" s="103">
        <f t="shared" ref="D122:AG122" si="14">-(100-(D119*100/D120))</f>
        <v>1.7857142857142918</v>
      </c>
      <c r="E122" s="103">
        <f t="shared" si="14"/>
        <v>1.4285714285714306</v>
      </c>
      <c r="F122" s="103">
        <f t="shared" si="14"/>
        <v>3.7142857142857082</v>
      </c>
      <c r="G122" s="103">
        <f t="shared" si="14"/>
        <v>4.7619047619047876</v>
      </c>
      <c r="H122" s="103">
        <f t="shared" si="14"/>
        <v>4.7619047619047592</v>
      </c>
      <c r="I122" s="103">
        <f t="shared" si="14"/>
        <v>4.4604863221884443</v>
      </c>
      <c r="J122" s="103">
        <f t="shared" si="14"/>
        <v>3.9183673469387799</v>
      </c>
      <c r="K122" s="103">
        <f t="shared" si="14"/>
        <v>-1.9305019305019329</v>
      </c>
      <c r="L122" s="103">
        <f t="shared" si="14"/>
        <v>2.8571428571428612</v>
      </c>
      <c r="M122" s="103">
        <f t="shared" si="14"/>
        <v>-2.8571428571428612</v>
      </c>
      <c r="N122" s="103">
        <f t="shared" si="14"/>
        <v>3.6734693877551052</v>
      </c>
      <c r="O122" s="103">
        <f t="shared" si="14"/>
        <v>2.8571428571428612</v>
      </c>
      <c r="P122" s="103">
        <f t="shared" si="14"/>
        <v>3.6734693877551052</v>
      </c>
      <c r="Q122" s="103">
        <f t="shared" si="14"/>
        <v>-3.3990147783251103</v>
      </c>
      <c r="R122" s="103">
        <f t="shared" si="14"/>
        <v>-4.4761904761904816</v>
      </c>
      <c r="S122" s="103">
        <f t="shared" si="14"/>
        <v>0.952380952380949</v>
      </c>
      <c r="T122" s="103">
        <f t="shared" si="14"/>
        <v>-0.11428571428571388</v>
      </c>
      <c r="U122" s="103">
        <f t="shared" si="14"/>
        <v>-0.87463556851312774</v>
      </c>
      <c r="V122" s="103">
        <f t="shared" si="14"/>
        <v>1.4285714285714306</v>
      </c>
      <c r="W122" s="103">
        <f t="shared" si="14"/>
        <v>3.8095238095238102</v>
      </c>
      <c r="X122" s="103">
        <f t="shared" si="14"/>
        <v>2.8571428571428612</v>
      </c>
      <c r="Y122" s="103">
        <f t="shared" si="14"/>
        <v>-0.3571428571428612</v>
      </c>
      <c r="Z122" s="103">
        <f t="shared" si="14"/>
        <v>-4.5428571428571587</v>
      </c>
      <c r="AA122" s="103">
        <f t="shared" si="14"/>
        <v>0</v>
      </c>
      <c r="AB122" s="103">
        <f t="shared" si="14"/>
        <v>-100</v>
      </c>
      <c r="AC122" s="103">
        <f t="shared" si="14"/>
        <v>-100</v>
      </c>
      <c r="AD122" s="103">
        <f t="shared" si="14"/>
        <v>-57.142857142857146</v>
      </c>
      <c r="AE122" s="103">
        <f t="shared" si="14"/>
        <v>-100</v>
      </c>
      <c r="AF122" s="103">
        <f t="shared" si="14"/>
        <v>-100</v>
      </c>
      <c r="AG122" s="103" t="e">
        <f t="shared" si="14"/>
        <v>#DIV/0!</v>
      </c>
    </row>
    <row r="123" spans="1:34" ht="10.5" customHeight="1" x14ac:dyDescent="0.25">
      <c r="AG123" s="42"/>
    </row>
    <row r="124" spans="1:34" ht="10.5" customHeight="1" x14ac:dyDescent="0.25">
      <c r="AG124" s="42"/>
    </row>
    <row r="125" spans="1:34" ht="10.5" customHeight="1" x14ac:dyDescent="0.25">
      <c r="AG125" s="42"/>
    </row>
    <row r="126" spans="1:34" ht="10.5" customHeight="1" x14ac:dyDescent="0.25">
      <c r="B126" s="156" t="s">
        <v>21</v>
      </c>
      <c r="C126" s="104"/>
      <c r="D126" s="73"/>
      <c r="E126" s="73"/>
      <c r="F126" s="73"/>
      <c r="G126" s="73"/>
      <c r="H126" s="42" t="s">
        <v>84</v>
      </c>
      <c r="AG126" s="42"/>
    </row>
    <row r="127" spans="1:34" ht="10.5" customHeight="1" x14ac:dyDescent="0.25">
      <c r="B127" s="156"/>
      <c r="C127" s="104" t="s">
        <v>39</v>
      </c>
      <c r="D127" s="73"/>
      <c r="E127" s="73"/>
      <c r="F127" s="42" t="s">
        <v>51</v>
      </c>
      <c r="I127" s="42" t="s">
        <v>62</v>
      </c>
      <c r="AG127" s="42"/>
    </row>
    <row r="128" spans="1:34" ht="10.5" customHeight="1" x14ac:dyDescent="0.25">
      <c r="B128" s="156"/>
      <c r="C128" s="104" t="s">
        <v>38</v>
      </c>
      <c r="D128" s="73"/>
      <c r="E128" s="73" t="s">
        <v>49</v>
      </c>
      <c r="F128" s="73" t="s">
        <v>48</v>
      </c>
      <c r="H128" s="73" t="s">
        <v>49</v>
      </c>
      <c r="I128" s="73" t="s">
        <v>48</v>
      </c>
      <c r="AG128" s="42"/>
    </row>
    <row r="129" spans="2:33" ht="10.5" customHeight="1" x14ac:dyDescent="0.25">
      <c r="B129" s="155" t="s">
        <v>37</v>
      </c>
      <c r="C129" s="104">
        <v>80</v>
      </c>
      <c r="D129" s="73"/>
      <c r="E129" s="73">
        <f t="shared" ref="E129:E158" si="15">C129*25/100</f>
        <v>20</v>
      </c>
      <c r="F129" s="73">
        <f t="shared" ref="F129:F158" si="16">C129*0.35</f>
        <v>28</v>
      </c>
      <c r="H129" s="42">
        <f>E129*10</f>
        <v>200</v>
      </c>
      <c r="I129" s="42">
        <f>F129*10</f>
        <v>280</v>
      </c>
      <c r="AG129" s="42"/>
    </row>
    <row r="130" spans="2:33" ht="10.5" customHeight="1" x14ac:dyDescent="0.25">
      <c r="B130" s="155" t="s">
        <v>22</v>
      </c>
      <c r="C130" s="104">
        <v>150</v>
      </c>
      <c r="D130" s="73"/>
      <c r="E130" s="73">
        <f t="shared" si="15"/>
        <v>37.5</v>
      </c>
      <c r="F130" s="73">
        <f t="shared" si="16"/>
        <v>52.5</v>
      </c>
      <c r="H130" s="42">
        <f t="shared" ref="H130:I158" si="17">E130*10</f>
        <v>375</v>
      </c>
      <c r="I130" s="42">
        <f t="shared" si="17"/>
        <v>525</v>
      </c>
      <c r="AG130" s="42"/>
    </row>
    <row r="131" spans="2:33" ht="10.5" customHeight="1" x14ac:dyDescent="0.25">
      <c r="B131" s="155" t="s">
        <v>23</v>
      </c>
      <c r="C131" s="104">
        <v>15</v>
      </c>
      <c r="D131" s="73"/>
      <c r="E131" s="73">
        <f t="shared" si="15"/>
        <v>3.75</v>
      </c>
      <c r="F131" s="73">
        <f t="shared" si="16"/>
        <v>5.25</v>
      </c>
      <c r="H131" s="42">
        <f t="shared" si="17"/>
        <v>37.5</v>
      </c>
      <c r="I131" s="42">
        <f t="shared" si="17"/>
        <v>52.5</v>
      </c>
      <c r="AG131" s="42"/>
    </row>
    <row r="132" spans="2:33" ht="10.5" customHeight="1" x14ac:dyDescent="0.25">
      <c r="B132" s="155" t="s">
        <v>24</v>
      </c>
      <c r="C132" s="104">
        <v>45</v>
      </c>
      <c r="D132" s="73"/>
      <c r="E132" s="73">
        <f t="shared" si="15"/>
        <v>11.25</v>
      </c>
      <c r="F132" s="73">
        <f t="shared" si="16"/>
        <v>15.749999999999998</v>
      </c>
      <c r="H132" s="42">
        <f t="shared" si="17"/>
        <v>112.5</v>
      </c>
      <c r="I132" s="42">
        <f t="shared" si="17"/>
        <v>157.49999999999997</v>
      </c>
      <c r="AG132" s="42"/>
    </row>
    <row r="133" spans="2:33" ht="10.5" customHeight="1" x14ac:dyDescent="0.25">
      <c r="B133" s="155" t="s">
        <v>25</v>
      </c>
      <c r="C133" s="104">
        <v>15</v>
      </c>
      <c r="D133" s="73"/>
      <c r="E133" s="73">
        <f t="shared" si="15"/>
        <v>3.75</v>
      </c>
      <c r="F133" s="73">
        <f t="shared" si="16"/>
        <v>5.25</v>
      </c>
      <c r="H133" s="42">
        <f t="shared" si="17"/>
        <v>37.5</v>
      </c>
      <c r="I133" s="42">
        <f t="shared" si="17"/>
        <v>52.5</v>
      </c>
      <c r="AG133" s="42"/>
    </row>
    <row r="134" spans="2:33" ht="10.5" customHeight="1" x14ac:dyDescent="0.25">
      <c r="B134" s="155" t="s">
        <v>26</v>
      </c>
      <c r="C134" s="104">
        <v>188</v>
      </c>
      <c r="D134" s="73"/>
      <c r="E134" s="73">
        <f t="shared" si="15"/>
        <v>47</v>
      </c>
      <c r="F134" s="73">
        <f t="shared" si="16"/>
        <v>65.8</v>
      </c>
      <c r="H134" s="42">
        <f t="shared" si="17"/>
        <v>470</v>
      </c>
      <c r="I134" s="42">
        <f t="shared" si="17"/>
        <v>658</v>
      </c>
      <c r="AG134" s="42"/>
    </row>
    <row r="135" spans="2:33" ht="10.5" customHeight="1" x14ac:dyDescent="0.25">
      <c r="B135" s="155" t="s">
        <v>85</v>
      </c>
      <c r="C135" s="104">
        <v>280</v>
      </c>
      <c r="D135" s="73"/>
      <c r="E135" s="73">
        <f t="shared" si="15"/>
        <v>70</v>
      </c>
      <c r="F135" s="73">
        <f t="shared" si="16"/>
        <v>98</v>
      </c>
      <c r="H135" s="42">
        <f t="shared" si="17"/>
        <v>700</v>
      </c>
      <c r="I135" s="42">
        <f t="shared" si="17"/>
        <v>980</v>
      </c>
      <c r="AG135" s="42"/>
    </row>
    <row r="136" spans="2:33" ht="10.5" customHeight="1" x14ac:dyDescent="0.25">
      <c r="B136" s="155" t="s">
        <v>86</v>
      </c>
      <c r="C136" s="104">
        <v>185</v>
      </c>
      <c r="D136" s="73"/>
      <c r="E136" s="73">
        <f t="shared" si="15"/>
        <v>46.25</v>
      </c>
      <c r="F136" s="73">
        <f t="shared" si="16"/>
        <v>64.75</v>
      </c>
      <c r="H136" s="42">
        <f t="shared" si="17"/>
        <v>462.5</v>
      </c>
      <c r="I136" s="42">
        <f t="shared" si="17"/>
        <v>647.5</v>
      </c>
      <c r="AG136" s="42"/>
    </row>
    <row r="137" spans="2:33" ht="10.5" customHeight="1" x14ac:dyDescent="0.25">
      <c r="B137" s="155" t="s">
        <v>87</v>
      </c>
      <c r="C137" s="104">
        <v>15</v>
      </c>
      <c r="D137" s="73"/>
      <c r="E137" s="73">
        <f t="shared" si="15"/>
        <v>3.75</v>
      </c>
      <c r="F137" s="73">
        <f t="shared" si="16"/>
        <v>5.25</v>
      </c>
      <c r="H137" s="42">
        <f t="shared" si="17"/>
        <v>37.5</v>
      </c>
      <c r="I137" s="42">
        <f t="shared" si="17"/>
        <v>52.5</v>
      </c>
      <c r="AG137" s="42"/>
    </row>
    <row r="138" spans="2:33" ht="10.5" customHeight="1" x14ac:dyDescent="0.25">
      <c r="B138" s="155" t="s">
        <v>41</v>
      </c>
      <c r="C138" s="104">
        <v>200</v>
      </c>
      <c r="D138" s="73"/>
      <c r="E138" s="73">
        <f t="shared" si="15"/>
        <v>50</v>
      </c>
      <c r="F138" s="73">
        <f t="shared" si="16"/>
        <v>70</v>
      </c>
      <c r="H138" s="42">
        <f t="shared" si="17"/>
        <v>500</v>
      </c>
      <c r="I138" s="42">
        <f t="shared" si="17"/>
        <v>700</v>
      </c>
      <c r="AG138" s="42"/>
    </row>
    <row r="139" spans="2:33" ht="10.5" customHeight="1" x14ac:dyDescent="0.25">
      <c r="B139" s="155" t="s">
        <v>88</v>
      </c>
      <c r="C139" s="104">
        <v>70</v>
      </c>
      <c r="D139" s="73"/>
      <c r="E139" s="73">
        <f t="shared" si="15"/>
        <v>17.5</v>
      </c>
      <c r="F139" s="73">
        <f t="shared" si="16"/>
        <v>24.5</v>
      </c>
      <c r="H139" s="42">
        <f t="shared" si="17"/>
        <v>175</v>
      </c>
      <c r="I139" s="42">
        <f t="shared" si="17"/>
        <v>245</v>
      </c>
      <c r="AG139" s="42"/>
    </row>
    <row r="140" spans="2:33" ht="10.5" customHeight="1" x14ac:dyDescent="0.25">
      <c r="B140" s="155" t="s">
        <v>91</v>
      </c>
      <c r="C140" s="104">
        <v>15</v>
      </c>
      <c r="D140" s="73"/>
      <c r="E140" s="73">
        <f t="shared" si="15"/>
        <v>3.75</v>
      </c>
      <c r="F140" s="73">
        <f t="shared" si="16"/>
        <v>5.25</v>
      </c>
      <c r="H140" s="42">
        <f t="shared" si="17"/>
        <v>37.5</v>
      </c>
      <c r="I140" s="42">
        <f t="shared" si="17"/>
        <v>52.5</v>
      </c>
      <c r="AG140" s="42"/>
    </row>
    <row r="141" spans="2:33" ht="10.5" customHeight="1" x14ac:dyDescent="0.25">
      <c r="B141" s="155" t="s">
        <v>89</v>
      </c>
      <c r="C141" s="104">
        <v>35</v>
      </c>
      <c r="D141" s="73"/>
      <c r="E141" s="73">
        <f t="shared" si="15"/>
        <v>8.75</v>
      </c>
      <c r="F141" s="73">
        <f t="shared" si="16"/>
        <v>12.25</v>
      </c>
      <c r="H141" s="42">
        <f t="shared" si="17"/>
        <v>87.5</v>
      </c>
      <c r="I141" s="42">
        <f t="shared" si="17"/>
        <v>122.5</v>
      </c>
      <c r="AG141" s="42"/>
    </row>
    <row r="142" spans="2:33" ht="10.5" customHeight="1" x14ac:dyDescent="0.25">
      <c r="B142" s="155" t="s">
        <v>90</v>
      </c>
      <c r="C142" s="104">
        <v>58</v>
      </c>
      <c r="D142" s="73"/>
      <c r="E142" s="73">
        <f t="shared" si="15"/>
        <v>14.5</v>
      </c>
      <c r="F142" s="73">
        <f t="shared" si="16"/>
        <v>20.299999999999997</v>
      </c>
      <c r="H142" s="42">
        <f t="shared" si="17"/>
        <v>145</v>
      </c>
      <c r="I142" s="42">
        <f t="shared" si="17"/>
        <v>202.99999999999997</v>
      </c>
      <c r="AG142" s="42"/>
    </row>
    <row r="143" spans="2:33" ht="10.5" customHeight="1" x14ac:dyDescent="0.25">
      <c r="B143" s="155" t="s">
        <v>42</v>
      </c>
      <c r="C143" s="104">
        <v>300</v>
      </c>
      <c r="D143" s="73"/>
      <c r="E143" s="73">
        <f t="shared" si="15"/>
        <v>75</v>
      </c>
      <c r="F143" s="73">
        <f t="shared" si="16"/>
        <v>105</v>
      </c>
      <c r="H143" s="42">
        <f t="shared" si="17"/>
        <v>750</v>
      </c>
      <c r="I143" s="42">
        <f t="shared" si="17"/>
        <v>1050</v>
      </c>
      <c r="AG143" s="42"/>
    </row>
    <row r="144" spans="2:33" ht="10.5" customHeight="1" x14ac:dyDescent="0.25">
      <c r="B144" s="155" t="s">
        <v>43</v>
      </c>
      <c r="C144" s="104">
        <v>150</v>
      </c>
      <c r="D144" s="73"/>
      <c r="E144" s="73">
        <f t="shared" si="15"/>
        <v>37.5</v>
      </c>
      <c r="F144" s="73">
        <f t="shared" si="16"/>
        <v>52.5</v>
      </c>
      <c r="H144" s="42">
        <f t="shared" si="17"/>
        <v>375</v>
      </c>
      <c r="I144" s="42">
        <f t="shared" si="17"/>
        <v>525</v>
      </c>
      <c r="AG144" s="42"/>
    </row>
    <row r="145" spans="1:33" ht="10.5" customHeight="1" x14ac:dyDescent="0.25">
      <c r="B145" s="155" t="s">
        <v>50</v>
      </c>
      <c r="C145" s="104">
        <v>50</v>
      </c>
      <c r="D145" s="73"/>
      <c r="E145" s="73">
        <f t="shared" si="15"/>
        <v>12.5</v>
      </c>
      <c r="F145" s="73">
        <f t="shared" si="16"/>
        <v>17.5</v>
      </c>
      <c r="H145" s="42">
        <f t="shared" si="17"/>
        <v>125</v>
      </c>
      <c r="I145" s="42">
        <f t="shared" si="17"/>
        <v>175</v>
      </c>
      <c r="AG145" s="42"/>
    </row>
    <row r="146" spans="1:33" ht="10.5" customHeight="1" x14ac:dyDescent="0.25">
      <c r="B146" s="155" t="s">
        <v>27</v>
      </c>
      <c r="C146" s="104">
        <v>9.8000000000000007</v>
      </c>
      <c r="D146" s="73"/>
      <c r="E146" s="73">
        <f t="shared" si="15"/>
        <v>2.4500000000000002</v>
      </c>
      <c r="F146" s="73">
        <f t="shared" si="16"/>
        <v>3.43</v>
      </c>
      <c r="H146" s="42">
        <f t="shared" si="17"/>
        <v>24.5</v>
      </c>
      <c r="I146" s="42">
        <f t="shared" si="17"/>
        <v>34.300000000000004</v>
      </c>
      <c r="AG146" s="42"/>
    </row>
    <row r="147" spans="1:33" ht="10.5" customHeight="1" x14ac:dyDescent="0.25">
      <c r="B147" s="155" t="s">
        <v>33</v>
      </c>
      <c r="C147" s="104">
        <v>10</v>
      </c>
      <c r="D147" s="73"/>
      <c r="E147" s="73">
        <f t="shared" si="15"/>
        <v>2.5</v>
      </c>
      <c r="F147" s="73">
        <f t="shared" si="16"/>
        <v>3.5</v>
      </c>
      <c r="H147" s="42">
        <f t="shared" si="17"/>
        <v>25</v>
      </c>
      <c r="I147" s="42">
        <f t="shared" si="17"/>
        <v>35</v>
      </c>
      <c r="AG147" s="42"/>
    </row>
    <row r="148" spans="1:33" ht="10.5" customHeight="1" x14ac:dyDescent="0.25">
      <c r="B148" s="155" t="s">
        <v>28</v>
      </c>
      <c r="C148" s="104">
        <v>30</v>
      </c>
      <c r="D148" s="73"/>
      <c r="E148" s="73">
        <f t="shared" si="15"/>
        <v>7.5</v>
      </c>
      <c r="F148" s="73">
        <f t="shared" si="16"/>
        <v>10.5</v>
      </c>
      <c r="H148" s="42">
        <f t="shared" si="17"/>
        <v>75</v>
      </c>
      <c r="I148" s="42">
        <f t="shared" si="17"/>
        <v>105</v>
      </c>
      <c r="AG148" s="42"/>
    </row>
    <row r="149" spans="1:33" ht="10.5" customHeight="1" x14ac:dyDescent="0.25">
      <c r="B149" s="155" t="s">
        <v>29</v>
      </c>
      <c r="C149" s="104">
        <v>15</v>
      </c>
      <c r="D149" s="73"/>
      <c r="E149" s="73">
        <f t="shared" si="15"/>
        <v>3.75</v>
      </c>
      <c r="F149" s="73">
        <f t="shared" si="16"/>
        <v>5.25</v>
      </c>
      <c r="H149" s="42">
        <f t="shared" si="17"/>
        <v>37.5</v>
      </c>
      <c r="I149" s="42">
        <f t="shared" si="17"/>
        <v>52.5</v>
      </c>
      <c r="AG149" s="42"/>
    </row>
    <row r="150" spans="1:33" ht="10.5" customHeight="1" x14ac:dyDescent="0.25">
      <c r="B150" s="155" t="s">
        <v>55</v>
      </c>
      <c r="C150" s="104">
        <v>40</v>
      </c>
      <c r="D150" s="73"/>
      <c r="E150" s="73">
        <f t="shared" si="15"/>
        <v>10</v>
      </c>
      <c r="F150" s="73">
        <f t="shared" si="16"/>
        <v>14</v>
      </c>
      <c r="H150" s="42">
        <f t="shared" si="17"/>
        <v>100</v>
      </c>
      <c r="I150" s="42">
        <f t="shared" si="17"/>
        <v>140</v>
      </c>
      <c r="AG150" s="42"/>
    </row>
    <row r="151" spans="1:33" ht="10.5" customHeight="1" x14ac:dyDescent="0.25">
      <c r="B151" s="155" t="s">
        <v>30</v>
      </c>
      <c r="C151" s="104">
        <v>40</v>
      </c>
      <c r="D151" s="73"/>
      <c r="E151" s="73">
        <f t="shared" si="15"/>
        <v>10</v>
      </c>
      <c r="F151" s="73">
        <f t="shared" si="16"/>
        <v>14</v>
      </c>
      <c r="H151" s="42">
        <f t="shared" si="17"/>
        <v>100</v>
      </c>
      <c r="I151" s="42">
        <f t="shared" si="17"/>
        <v>140</v>
      </c>
      <c r="AG151" s="42"/>
    </row>
    <row r="152" spans="1:33" ht="10.5" customHeight="1" x14ac:dyDescent="0.25">
      <c r="B152" s="155" t="s">
        <v>31</v>
      </c>
      <c r="C152" s="104">
        <v>10</v>
      </c>
      <c r="D152" s="73"/>
      <c r="E152" s="73">
        <f t="shared" si="15"/>
        <v>2.5</v>
      </c>
      <c r="F152" s="73">
        <f t="shared" si="16"/>
        <v>3.5</v>
      </c>
      <c r="H152" s="42">
        <f t="shared" si="17"/>
        <v>25</v>
      </c>
      <c r="I152" s="42">
        <f t="shared" si="17"/>
        <v>35</v>
      </c>
      <c r="AG152" s="42"/>
    </row>
    <row r="153" spans="1:33" ht="10.5" customHeight="1" x14ac:dyDescent="0.25">
      <c r="B153" s="155" t="s">
        <v>14</v>
      </c>
      <c r="C153" s="104">
        <v>0.4</v>
      </c>
      <c r="D153" s="73"/>
      <c r="E153" s="73">
        <f t="shared" si="15"/>
        <v>0.1</v>
      </c>
      <c r="F153" s="73">
        <f t="shared" si="16"/>
        <v>0.13999999999999999</v>
      </c>
      <c r="H153" s="42">
        <f t="shared" si="17"/>
        <v>1</v>
      </c>
      <c r="I153" s="42">
        <f t="shared" si="17"/>
        <v>1.4</v>
      </c>
      <c r="AG153" s="42"/>
    </row>
    <row r="154" spans="1:33" ht="10.5" customHeight="1" x14ac:dyDescent="0.25">
      <c r="B154" s="155" t="s">
        <v>44</v>
      </c>
      <c r="C154" s="104">
        <v>1.2</v>
      </c>
      <c r="D154" s="73"/>
      <c r="E154" s="73">
        <f t="shared" si="15"/>
        <v>0.3</v>
      </c>
      <c r="F154" s="73">
        <f t="shared" si="16"/>
        <v>0.42</v>
      </c>
      <c r="H154" s="42">
        <f t="shared" si="17"/>
        <v>3</v>
      </c>
      <c r="I154" s="42">
        <f t="shared" si="17"/>
        <v>4.2</v>
      </c>
      <c r="AG154" s="42"/>
    </row>
    <row r="155" spans="1:33" ht="10.5" customHeight="1" x14ac:dyDescent="0.25">
      <c r="B155" s="155" t="s">
        <v>45</v>
      </c>
      <c r="C155" s="104">
        <v>2</v>
      </c>
      <c r="D155" s="73"/>
      <c r="E155" s="73">
        <f t="shared" si="15"/>
        <v>0.5</v>
      </c>
      <c r="F155" s="73">
        <f t="shared" si="16"/>
        <v>0.7</v>
      </c>
      <c r="H155" s="42">
        <f t="shared" si="17"/>
        <v>5</v>
      </c>
      <c r="I155" s="42">
        <f t="shared" si="17"/>
        <v>7</v>
      </c>
      <c r="AG155" s="42"/>
    </row>
    <row r="156" spans="1:33" ht="10.5" customHeight="1" x14ac:dyDescent="0.25">
      <c r="B156" s="155" t="s">
        <v>32</v>
      </c>
      <c r="C156" s="104">
        <v>1</v>
      </c>
      <c r="D156" s="73"/>
      <c r="E156" s="73">
        <f t="shared" si="15"/>
        <v>0.25</v>
      </c>
      <c r="F156" s="73">
        <f t="shared" si="16"/>
        <v>0.35</v>
      </c>
      <c r="H156" s="42">
        <f t="shared" si="17"/>
        <v>2.5</v>
      </c>
      <c r="I156" s="42">
        <f t="shared" si="17"/>
        <v>3.5</v>
      </c>
      <c r="AG156" s="42"/>
    </row>
    <row r="157" spans="1:33" ht="10.5" customHeight="1" x14ac:dyDescent="0.25">
      <c r="A157" s="105"/>
      <c r="B157" s="106" t="s">
        <v>46</v>
      </c>
      <c r="C157" s="107">
        <v>3</v>
      </c>
      <c r="D157" s="73"/>
      <c r="E157" s="73">
        <f t="shared" si="15"/>
        <v>0.75</v>
      </c>
      <c r="F157" s="73">
        <f t="shared" si="16"/>
        <v>1.0499999999999998</v>
      </c>
      <c r="G157" s="66"/>
      <c r="H157" s="42">
        <f t="shared" si="17"/>
        <v>7.5</v>
      </c>
      <c r="I157" s="42">
        <f t="shared" si="17"/>
        <v>10.499999999999998</v>
      </c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42"/>
    </row>
    <row r="158" spans="1:33" ht="10.5" customHeight="1" x14ac:dyDescent="0.25">
      <c r="B158" s="104" t="s">
        <v>47</v>
      </c>
      <c r="C158" s="104">
        <v>2</v>
      </c>
      <c r="D158" s="104"/>
      <c r="E158" s="104">
        <f t="shared" si="15"/>
        <v>0.5</v>
      </c>
      <c r="F158" s="104">
        <f t="shared" si="16"/>
        <v>0.7</v>
      </c>
      <c r="H158" s="42">
        <f t="shared" si="17"/>
        <v>5</v>
      </c>
      <c r="I158" s="42">
        <f t="shared" si="17"/>
        <v>7</v>
      </c>
      <c r="AG158" s="42"/>
    </row>
    <row r="159" spans="1:33" s="70" customFormat="1" ht="10.5" customHeight="1" x14ac:dyDescent="0.25">
      <c r="A159" s="53"/>
    </row>
    <row r="160" spans="1:33" s="70" customFormat="1" ht="10.5" customHeight="1" x14ac:dyDescent="0.25">
      <c r="A160" s="53"/>
    </row>
    <row r="161" spans="1:1" s="70" customFormat="1" ht="10.5" customHeight="1" x14ac:dyDescent="0.25">
      <c r="A161" s="53"/>
    </row>
    <row r="162" spans="1:1" s="70" customFormat="1" ht="10.5" customHeight="1" x14ac:dyDescent="0.25">
      <c r="A162" s="53"/>
    </row>
    <row r="163" spans="1:1" s="70" customFormat="1" ht="10.5" customHeight="1" x14ac:dyDescent="0.25">
      <c r="A163" s="53"/>
    </row>
    <row r="164" spans="1:1" s="70" customFormat="1" ht="10.5" customHeight="1" x14ac:dyDescent="0.25">
      <c r="A164" s="53"/>
    </row>
    <row r="165" spans="1:1" s="70" customFormat="1" ht="10.5" customHeight="1" x14ac:dyDescent="0.25">
      <c r="A165" s="53"/>
    </row>
    <row r="166" spans="1:1" s="70" customFormat="1" ht="10.5" customHeight="1" x14ac:dyDescent="0.25">
      <c r="A166" s="53"/>
    </row>
    <row r="167" spans="1:1" s="70" customFormat="1" ht="10.5" customHeight="1" x14ac:dyDescent="0.25">
      <c r="A167" s="53"/>
    </row>
    <row r="168" spans="1:1" s="70" customFormat="1" ht="10.5" customHeight="1" x14ac:dyDescent="0.25">
      <c r="A168" s="53"/>
    </row>
    <row r="169" spans="1:1" s="70" customFormat="1" ht="10.5" customHeight="1" x14ac:dyDescent="0.25">
      <c r="A169" s="53"/>
    </row>
    <row r="170" spans="1:1" s="70" customFormat="1" ht="10.5" customHeight="1" x14ac:dyDescent="0.25">
      <c r="A170" s="53"/>
    </row>
    <row r="171" spans="1:1" s="70" customFormat="1" ht="10.5" customHeight="1" x14ac:dyDescent="0.25">
      <c r="A171" s="53"/>
    </row>
    <row r="172" spans="1:1" s="70" customFormat="1" ht="10.5" customHeight="1" x14ac:dyDescent="0.25">
      <c r="A172" s="53"/>
    </row>
    <row r="173" spans="1:1" s="70" customFormat="1" ht="10.5" customHeight="1" x14ac:dyDescent="0.25">
      <c r="A173" s="53"/>
    </row>
    <row r="174" spans="1:1" s="70" customFormat="1" ht="10.5" customHeight="1" x14ac:dyDescent="0.25">
      <c r="A174" s="53"/>
    </row>
    <row r="175" spans="1:1" s="70" customFormat="1" ht="10.5" customHeight="1" x14ac:dyDescent="0.25">
      <c r="A175" s="53"/>
    </row>
    <row r="176" spans="1:1" s="70" customFormat="1" ht="10.5" customHeight="1" x14ac:dyDescent="0.25">
      <c r="A176" s="53"/>
    </row>
    <row r="177" spans="1:1" s="70" customFormat="1" ht="10.5" customHeight="1" x14ac:dyDescent="0.25">
      <c r="A177" s="53"/>
    </row>
    <row r="178" spans="1:1" s="70" customFormat="1" ht="10.5" customHeight="1" x14ac:dyDescent="0.25">
      <c r="A178" s="53"/>
    </row>
    <row r="179" spans="1:1" s="70" customFormat="1" ht="10.5" customHeight="1" x14ac:dyDescent="0.25">
      <c r="A179" s="53"/>
    </row>
    <row r="180" spans="1:1" s="70" customFormat="1" ht="10.5" customHeight="1" x14ac:dyDescent="0.25">
      <c r="A180" s="53"/>
    </row>
    <row r="181" spans="1:1" s="70" customFormat="1" ht="10.5" customHeight="1" x14ac:dyDescent="0.25">
      <c r="A181" s="53"/>
    </row>
    <row r="182" spans="1:1" s="70" customFormat="1" ht="10.5" customHeight="1" x14ac:dyDescent="0.25">
      <c r="A182" s="53"/>
    </row>
    <row r="183" spans="1:1" s="70" customFormat="1" ht="10.5" customHeight="1" x14ac:dyDescent="0.25">
      <c r="A183" s="53"/>
    </row>
    <row r="184" spans="1:1" s="70" customFormat="1" ht="10.5" customHeight="1" x14ac:dyDescent="0.25">
      <c r="A184" s="53"/>
    </row>
    <row r="185" spans="1:1" s="70" customFormat="1" ht="10.5" customHeight="1" x14ac:dyDescent="0.25">
      <c r="A185" s="53"/>
    </row>
    <row r="186" spans="1:1" s="70" customFormat="1" ht="10.5" customHeight="1" x14ac:dyDescent="0.25">
      <c r="A186" s="53"/>
    </row>
    <row r="187" spans="1:1" s="70" customFormat="1" ht="10.5" customHeight="1" x14ac:dyDescent="0.25">
      <c r="A187" s="53"/>
    </row>
    <row r="188" spans="1:1" s="70" customFormat="1" ht="10.5" customHeight="1" x14ac:dyDescent="0.25">
      <c r="A188" s="53"/>
    </row>
    <row r="189" spans="1:1" s="70" customFormat="1" ht="10.5" customHeight="1" x14ac:dyDescent="0.25">
      <c r="A189" s="53"/>
    </row>
    <row r="190" spans="1:1" s="70" customFormat="1" ht="10.5" customHeight="1" x14ac:dyDescent="0.25">
      <c r="A190" s="53"/>
    </row>
    <row r="191" spans="1:1" s="70" customFormat="1" ht="10.5" customHeight="1" x14ac:dyDescent="0.25">
      <c r="A191" s="53"/>
    </row>
    <row r="192" spans="1:1" s="70" customFormat="1" ht="10.5" customHeight="1" x14ac:dyDescent="0.25">
      <c r="A192" s="53"/>
    </row>
    <row r="193" spans="1:1" s="70" customFormat="1" ht="10.5" customHeight="1" x14ac:dyDescent="0.25">
      <c r="A193" s="53"/>
    </row>
    <row r="194" spans="1:1" s="70" customFormat="1" ht="10.5" customHeight="1" x14ac:dyDescent="0.25">
      <c r="A194" s="53"/>
    </row>
    <row r="195" spans="1:1" s="70" customFormat="1" ht="10.5" customHeight="1" x14ac:dyDescent="0.25">
      <c r="A195" s="53"/>
    </row>
    <row r="196" spans="1:1" s="70" customFormat="1" ht="10.5" customHeight="1" x14ac:dyDescent="0.25">
      <c r="A196" s="53"/>
    </row>
    <row r="197" spans="1:1" s="70" customFormat="1" ht="10.5" customHeight="1" x14ac:dyDescent="0.25">
      <c r="A197" s="53"/>
    </row>
    <row r="198" spans="1:1" s="70" customFormat="1" ht="10.5" customHeight="1" x14ac:dyDescent="0.25">
      <c r="A198" s="53"/>
    </row>
    <row r="199" spans="1:1" s="70" customFormat="1" ht="10.5" customHeight="1" x14ac:dyDescent="0.25">
      <c r="A199" s="53"/>
    </row>
    <row r="200" spans="1:1" s="70" customFormat="1" ht="10.5" customHeight="1" x14ac:dyDescent="0.25">
      <c r="A200" s="53"/>
    </row>
    <row r="201" spans="1:1" s="70" customFormat="1" ht="10.5" customHeight="1" x14ac:dyDescent="0.25">
      <c r="A201" s="53"/>
    </row>
    <row r="202" spans="1:1" s="70" customFormat="1" ht="10.5" customHeight="1" x14ac:dyDescent="0.25">
      <c r="A202" s="53"/>
    </row>
    <row r="203" spans="1:1" s="70" customFormat="1" ht="10.5" customHeight="1" x14ac:dyDescent="0.25">
      <c r="A203" s="53"/>
    </row>
    <row r="204" spans="1:1" s="70" customFormat="1" ht="10.5" customHeight="1" x14ac:dyDescent="0.25">
      <c r="A204" s="53"/>
    </row>
    <row r="205" spans="1:1" s="70" customFormat="1" ht="10.5" customHeight="1" x14ac:dyDescent="0.25">
      <c r="A205" s="53"/>
    </row>
    <row r="206" spans="1:1" s="70" customFormat="1" ht="10.5" customHeight="1" x14ac:dyDescent="0.25">
      <c r="A206" s="53"/>
    </row>
    <row r="207" spans="1:1" s="70" customFormat="1" ht="10.5" customHeight="1" x14ac:dyDescent="0.25">
      <c r="A207" s="53"/>
    </row>
    <row r="208" spans="1:1" s="70" customFormat="1" ht="10.5" customHeight="1" x14ac:dyDescent="0.25">
      <c r="A208" s="53"/>
    </row>
    <row r="209" spans="1:1" s="70" customFormat="1" ht="10.5" customHeight="1" x14ac:dyDescent="0.25">
      <c r="A209" s="53"/>
    </row>
    <row r="210" spans="1:1" s="70" customFormat="1" ht="10.5" customHeight="1" x14ac:dyDescent="0.25">
      <c r="A210" s="53"/>
    </row>
    <row r="211" spans="1:1" s="70" customFormat="1" ht="10.5" customHeight="1" x14ac:dyDescent="0.25">
      <c r="A211" s="53"/>
    </row>
    <row r="212" spans="1:1" s="70" customFormat="1" ht="10.5" customHeight="1" x14ac:dyDescent="0.25">
      <c r="A212" s="53"/>
    </row>
    <row r="213" spans="1:1" s="70" customFormat="1" ht="10.5" customHeight="1" x14ac:dyDescent="0.25">
      <c r="A213" s="53"/>
    </row>
    <row r="214" spans="1:1" s="70" customFormat="1" ht="10.5" customHeight="1" x14ac:dyDescent="0.25">
      <c r="A214" s="53"/>
    </row>
    <row r="215" spans="1:1" s="70" customFormat="1" ht="10.5" customHeight="1" x14ac:dyDescent="0.25">
      <c r="A215" s="53"/>
    </row>
    <row r="216" spans="1:1" s="70" customFormat="1" ht="10.5" customHeight="1" x14ac:dyDescent="0.25">
      <c r="A216" s="53"/>
    </row>
    <row r="217" spans="1:1" s="70" customFormat="1" ht="10.5" customHeight="1" x14ac:dyDescent="0.25">
      <c r="A217" s="53"/>
    </row>
    <row r="218" spans="1:1" s="70" customFormat="1" ht="10.5" customHeight="1" x14ac:dyDescent="0.25">
      <c r="A218" s="53"/>
    </row>
    <row r="219" spans="1:1" s="70" customFormat="1" ht="10.5" customHeight="1" x14ac:dyDescent="0.25">
      <c r="A219" s="53"/>
    </row>
    <row r="220" spans="1:1" s="70" customFormat="1" ht="10.5" customHeight="1" x14ac:dyDescent="0.25">
      <c r="A220" s="53"/>
    </row>
    <row r="221" spans="1:1" s="70" customFormat="1" ht="10.5" customHeight="1" x14ac:dyDescent="0.25">
      <c r="A221" s="53"/>
    </row>
    <row r="222" spans="1:1" s="70" customFormat="1" ht="10.5" customHeight="1" x14ac:dyDescent="0.25">
      <c r="A222" s="53"/>
    </row>
    <row r="223" spans="1:1" s="70" customFormat="1" ht="10.5" customHeight="1" x14ac:dyDescent="0.25">
      <c r="A223" s="53"/>
    </row>
    <row r="224" spans="1:1" s="70" customFormat="1" ht="10.5" customHeight="1" x14ac:dyDescent="0.25">
      <c r="A224" s="53"/>
    </row>
    <row r="225" spans="1:1" s="70" customFormat="1" ht="10.5" customHeight="1" x14ac:dyDescent="0.25">
      <c r="A225" s="53"/>
    </row>
    <row r="226" spans="1:1" s="70" customFormat="1" ht="10.5" customHeight="1" x14ac:dyDescent="0.25">
      <c r="A226" s="53"/>
    </row>
    <row r="227" spans="1:1" s="70" customFormat="1" ht="10.5" customHeight="1" x14ac:dyDescent="0.25">
      <c r="A227" s="53"/>
    </row>
    <row r="228" spans="1:1" s="70" customFormat="1" ht="10.5" customHeight="1" x14ac:dyDescent="0.25">
      <c r="A228" s="53"/>
    </row>
    <row r="229" spans="1:1" s="70" customFormat="1" ht="10.5" customHeight="1" x14ac:dyDescent="0.25">
      <c r="A229" s="53"/>
    </row>
    <row r="230" spans="1:1" s="70" customFormat="1" ht="10.5" customHeight="1" x14ac:dyDescent="0.25">
      <c r="A230" s="53"/>
    </row>
    <row r="231" spans="1:1" s="70" customFormat="1" ht="10.5" customHeight="1" x14ac:dyDescent="0.25">
      <c r="A231" s="53"/>
    </row>
    <row r="232" spans="1:1" s="70" customFormat="1" ht="10.5" customHeight="1" x14ac:dyDescent="0.25">
      <c r="A232" s="53"/>
    </row>
    <row r="233" spans="1:1" s="70" customFormat="1" ht="10.5" customHeight="1" x14ac:dyDescent="0.25">
      <c r="A233" s="53"/>
    </row>
    <row r="234" spans="1:1" s="70" customFormat="1" ht="10.5" customHeight="1" x14ac:dyDescent="0.25">
      <c r="A234" s="53"/>
    </row>
    <row r="235" spans="1:1" s="70" customFormat="1" ht="10.5" customHeight="1" x14ac:dyDescent="0.25">
      <c r="A235" s="53"/>
    </row>
    <row r="236" spans="1:1" s="70" customFormat="1" ht="10.5" customHeight="1" x14ac:dyDescent="0.25">
      <c r="A236" s="53"/>
    </row>
    <row r="237" spans="1:1" s="70" customFormat="1" ht="10.5" customHeight="1" x14ac:dyDescent="0.25">
      <c r="A237" s="53"/>
    </row>
    <row r="238" spans="1:1" s="70" customFormat="1" ht="10.5" customHeight="1" x14ac:dyDescent="0.25">
      <c r="A238" s="53"/>
    </row>
    <row r="239" spans="1:1" s="70" customFormat="1" ht="10.5" customHeight="1" x14ac:dyDescent="0.25">
      <c r="A239" s="53"/>
    </row>
    <row r="240" spans="1:1" s="70" customFormat="1" ht="10.5" customHeight="1" x14ac:dyDescent="0.25">
      <c r="A240" s="53"/>
    </row>
    <row r="241" spans="1:1" s="70" customFormat="1" ht="10.5" customHeight="1" x14ac:dyDescent="0.25">
      <c r="A241" s="53"/>
    </row>
    <row r="242" spans="1:1" s="70" customFormat="1" ht="10.5" customHeight="1" x14ac:dyDescent="0.25">
      <c r="A242" s="53"/>
    </row>
    <row r="243" spans="1:1" s="70" customFormat="1" ht="10.5" customHeight="1" x14ac:dyDescent="0.25">
      <c r="A243" s="53"/>
    </row>
    <row r="244" spans="1:1" s="70" customFormat="1" ht="10.5" customHeight="1" x14ac:dyDescent="0.25">
      <c r="A244" s="53"/>
    </row>
    <row r="245" spans="1:1" s="70" customFormat="1" ht="10.5" customHeight="1" x14ac:dyDescent="0.25">
      <c r="A245" s="53"/>
    </row>
    <row r="246" spans="1:1" s="70" customFormat="1" ht="10.5" customHeight="1" x14ac:dyDescent="0.25">
      <c r="A246" s="53"/>
    </row>
    <row r="247" spans="1:1" s="70" customFormat="1" ht="10.5" customHeight="1" x14ac:dyDescent="0.25">
      <c r="A247" s="53"/>
    </row>
    <row r="248" spans="1:1" s="70" customFormat="1" ht="10.5" customHeight="1" x14ac:dyDescent="0.25">
      <c r="A248" s="53"/>
    </row>
    <row r="249" spans="1:1" s="70" customFormat="1" ht="10.5" customHeight="1" x14ac:dyDescent="0.25">
      <c r="A249" s="53"/>
    </row>
    <row r="250" spans="1:1" s="70" customFormat="1" ht="10.5" customHeight="1" x14ac:dyDescent="0.25">
      <c r="A250" s="53"/>
    </row>
    <row r="251" spans="1:1" s="70" customFormat="1" ht="10.5" customHeight="1" x14ac:dyDescent="0.25">
      <c r="A251" s="53"/>
    </row>
    <row r="252" spans="1:1" s="70" customFormat="1" ht="10.5" customHeight="1" x14ac:dyDescent="0.25">
      <c r="A252" s="53"/>
    </row>
    <row r="253" spans="1:1" s="70" customFormat="1" ht="10.5" customHeight="1" x14ac:dyDescent="0.25">
      <c r="A253" s="53"/>
    </row>
    <row r="254" spans="1:1" s="70" customFormat="1" ht="10.5" customHeight="1" x14ac:dyDescent="0.25">
      <c r="A254" s="53"/>
    </row>
    <row r="255" spans="1:1" s="70" customFormat="1" ht="10.5" customHeight="1" x14ac:dyDescent="0.25">
      <c r="A255" s="53"/>
    </row>
    <row r="256" spans="1:1" s="70" customFormat="1" ht="10.5" customHeight="1" x14ac:dyDescent="0.25">
      <c r="A256" s="53"/>
    </row>
    <row r="257" spans="1:1" s="70" customFormat="1" ht="10.5" customHeight="1" x14ac:dyDescent="0.25">
      <c r="A257" s="53"/>
    </row>
    <row r="258" spans="1:1" s="70" customFormat="1" ht="10.5" customHeight="1" x14ac:dyDescent="0.25">
      <c r="A258" s="53"/>
    </row>
    <row r="259" spans="1:1" s="70" customFormat="1" ht="10.5" customHeight="1" x14ac:dyDescent="0.25">
      <c r="A259" s="53"/>
    </row>
    <row r="260" spans="1:1" s="70" customFormat="1" ht="10.5" customHeight="1" x14ac:dyDescent="0.25">
      <c r="A260" s="53"/>
    </row>
    <row r="261" spans="1:1" s="70" customFormat="1" ht="10.5" customHeight="1" x14ac:dyDescent="0.25">
      <c r="A261" s="53"/>
    </row>
    <row r="262" spans="1:1" s="70" customFormat="1" ht="10.5" customHeight="1" x14ac:dyDescent="0.25">
      <c r="A262" s="53"/>
    </row>
    <row r="263" spans="1:1" s="70" customFormat="1" ht="10.5" customHeight="1" x14ac:dyDescent="0.25">
      <c r="A263" s="53"/>
    </row>
    <row r="264" spans="1:1" s="70" customFormat="1" ht="10.5" customHeight="1" x14ac:dyDescent="0.25">
      <c r="A264" s="53"/>
    </row>
    <row r="265" spans="1:1" s="70" customFormat="1" ht="10.5" customHeight="1" x14ac:dyDescent="0.25">
      <c r="A265" s="53"/>
    </row>
    <row r="266" spans="1:1" s="70" customFormat="1" ht="10.5" customHeight="1" x14ac:dyDescent="0.25">
      <c r="A266" s="53"/>
    </row>
    <row r="267" spans="1:1" s="70" customFormat="1" ht="10.5" customHeight="1" x14ac:dyDescent="0.25">
      <c r="A267" s="53"/>
    </row>
    <row r="268" spans="1:1" s="70" customFormat="1" ht="10.5" customHeight="1" x14ac:dyDescent="0.25">
      <c r="A268" s="53"/>
    </row>
    <row r="269" spans="1:1" s="70" customFormat="1" ht="10.5" customHeight="1" x14ac:dyDescent="0.25">
      <c r="A269" s="53"/>
    </row>
    <row r="270" spans="1:1" s="70" customFormat="1" ht="10.5" customHeight="1" x14ac:dyDescent="0.25">
      <c r="A270" s="53"/>
    </row>
    <row r="271" spans="1:1" s="70" customFormat="1" ht="10.5" customHeight="1" x14ac:dyDescent="0.25">
      <c r="A271" s="53"/>
    </row>
    <row r="272" spans="1:1" s="70" customFormat="1" ht="10.5" customHeight="1" x14ac:dyDescent="0.25">
      <c r="A272" s="53"/>
    </row>
    <row r="273" spans="1:1" s="70" customFormat="1" ht="10.5" customHeight="1" x14ac:dyDescent="0.25">
      <c r="A273" s="53"/>
    </row>
    <row r="274" spans="1:1" s="70" customFormat="1" ht="10.5" customHeight="1" x14ac:dyDescent="0.25">
      <c r="A274" s="53"/>
    </row>
    <row r="275" spans="1:1" s="70" customFormat="1" ht="10.5" customHeight="1" x14ac:dyDescent="0.25">
      <c r="A275" s="53"/>
    </row>
    <row r="276" spans="1:1" s="70" customFormat="1" ht="10.5" customHeight="1" x14ac:dyDescent="0.25">
      <c r="A276" s="53"/>
    </row>
    <row r="277" spans="1:1" s="70" customFormat="1" ht="10.5" customHeight="1" x14ac:dyDescent="0.25">
      <c r="A277" s="53"/>
    </row>
    <row r="278" spans="1:1" s="70" customFormat="1" ht="10.5" customHeight="1" x14ac:dyDescent="0.25">
      <c r="A278" s="53"/>
    </row>
    <row r="279" spans="1:1" s="70" customFormat="1" ht="10.5" customHeight="1" x14ac:dyDescent="0.25">
      <c r="A279" s="53"/>
    </row>
    <row r="280" spans="1:1" s="70" customFormat="1" ht="10.5" customHeight="1" x14ac:dyDescent="0.25">
      <c r="A280" s="53"/>
    </row>
    <row r="281" spans="1:1" s="70" customFormat="1" ht="10.5" customHeight="1" x14ac:dyDescent="0.25">
      <c r="A281" s="53"/>
    </row>
    <row r="282" spans="1:1" s="70" customFormat="1" ht="10.5" customHeight="1" x14ac:dyDescent="0.25">
      <c r="A282" s="53"/>
    </row>
    <row r="283" spans="1:1" s="70" customFormat="1" ht="10.5" customHeight="1" x14ac:dyDescent="0.25">
      <c r="A283" s="53"/>
    </row>
    <row r="284" spans="1:1" s="70" customFormat="1" ht="10.5" customHeight="1" x14ac:dyDescent="0.25">
      <c r="A284" s="53"/>
    </row>
    <row r="285" spans="1:1" s="70" customFormat="1" ht="10.5" customHeight="1" x14ac:dyDescent="0.25">
      <c r="A285" s="53"/>
    </row>
    <row r="286" spans="1:1" s="70" customFormat="1" ht="10.5" customHeight="1" x14ac:dyDescent="0.25">
      <c r="A286" s="53"/>
    </row>
    <row r="287" spans="1:1" s="70" customFormat="1" ht="10.5" customHeight="1" x14ac:dyDescent="0.25">
      <c r="A287" s="53"/>
    </row>
    <row r="288" spans="1:1" s="70" customFormat="1" ht="10.5" customHeight="1" x14ac:dyDescent="0.25">
      <c r="A288" s="53"/>
    </row>
    <row r="289" spans="1:1" s="70" customFormat="1" ht="10.5" customHeight="1" x14ac:dyDescent="0.25">
      <c r="A289" s="53"/>
    </row>
    <row r="290" spans="1:1" s="70" customFormat="1" ht="10.5" customHeight="1" x14ac:dyDescent="0.25">
      <c r="A290" s="53"/>
    </row>
    <row r="291" spans="1:1" s="70" customFormat="1" ht="10.5" customHeight="1" x14ac:dyDescent="0.25">
      <c r="A291" s="53"/>
    </row>
    <row r="292" spans="1:1" s="70" customFormat="1" ht="10.5" customHeight="1" x14ac:dyDescent="0.25">
      <c r="A292" s="53"/>
    </row>
    <row r="293" spans="1:1" s="70" customFormat="1" ht="10.5" customHeight="1" x14ac:dyDescent="0.25">
      <c r="A293" s="53"/>
    </row>
    <row r="294" spans="1:1" s="70" customFormat="1" ht="10.5" customHeight="1" x14ac:dyDescent="0.25">
      <c r="A294" s="53"/>
    </row>
    <row r="295" spans="1:1" s="70" customFormat="1" ht="10.5" customHeight="1" x14ac:dyDescent="0.25">
      <c r="A295" s="53"/>
    </row>
    <row r="296" spans="1:1" s="70" customFormat="1" ht="10.5" customHeight="1" x14ac:dyDescent="0.25">
      <c r="A296" s="53"/>
    </row>
    <row r="297" spans="1:1" s="70" customFormat="1" ht="10.5" customHeight="1" x14ac:dyDescent="0.25">
      <c r="A297" s="53"/>
    </row>
    <row r="298" spans="1:1" s="70" customFormat="1" ht="10.5" customHeight="1" x14ac:dyDescent="0.25">
      <c r="A298" s="53"/>
    </row>
    <row r="299" spans="1:1" s="70" customFormat="1" ht="10.5" customHeight="1" x14ac:dyDescent="0.25">
      <c r="A299" s="53"/>
    </row>
    <row r="300" spans="1:1" s="70" customFormat="1" ht="10.5" customHeight="1" x14ac:dyDescent="0.25">
      <c r="A300" s="53"/>
    </row>
    <row r="301" spans="1:1" s="70" customFormat="1" ht="10.5" customHeight="1" x14ac:dyDescent="0.25">
      <c r="A301" s="53"/>
    </row>
    <row r="302" spans="1:1" s="70" customFormat="1" ht="10.5" customHeight="1" x14ac:dyDescent="0.25">
      <c r="A302" s="53"/>
    </row>
    <row r="303" spans="1:1" s="70" customFormat="1" ht="10.5" customHeight="1" x14ac:dyDescent="0.25">
      <c r="A303" s="53"/>
    </row>
    <row r="304" spans="1:1" s="70" customFormat="1" ht="10.5" customHeight="1" x14ac:dyDescent="0.25">
      <c r="A304" s="53"/>
    </row>
    <row r="305" spans="1:1" s="70" customFormat="1" ht="10.5" customHeight="1" x14ac:dyDescent="0.25">
      <c r="A305" s="53"/>
    </row>
    <row r="306" spans="1:1" s="70" customFormat="1" ht="10.5" customHeight="1" x14ac:dyDescent="0.25">
      <c r="A306" s="53"/>
    </row>
    <row r="307" spans="1:1" s="70" customFormat="1" ht="10.5" customHeight="1" x14ac:dyDescent="0.25">
      <c r="A307" s="53"/>
    </row>
    <row r="308" spans="1:1" s="70" customFormat="1" ht="10.5" customHeight="1" x14ac:dyDescent="0.25">
      <c r="A308" s="53"/>
    </row>
    <row r="309" spans="1:1" s="70" customFormat="1" ht="10.5" customHeight="1" x14ac:dyDescent="0.25">
      <c r="A309" s="53"/>
    </row>
    <row r="310" spans="1:1" s="70" customFormat="1" ht="10.5" customHeight="1" x14ac:dyDescent="0.25">
      <c r="A310" s="53"/>
    </row>
    <row r="311" spans="1:1" s="70" customFormat="1" ht="10.5" customHeight="1" x14ac:dyDescent="0.25">
      <c r="A311" s="53"/>
    </row>
    <row r="312" spans="1:1" s="70" customFormat="1" ht="10.5" customHeight="1" x14ac:dyDescent="0.25">
      <c r="A312" s="53"/>
    </row>
    <row r="313" spans="1:1" s="70" customFormat="1" ht="10.5" customHeight="1" x14ac:dyDescent="0.25">
      <c r="A313" s="53"/>
    </row>
    <row r="314" spans="1:1" s="70" customFormat="1" ht="10.5" customHeight="1" x14ac:dyDescent="0.25">
      <c r="A314" s="53"/>
    </row>
    <row r="315" spans="1:1" s="70" customFormat="1" ht="10.5" customHeight="1" x14ac:dyDescent="0.25">
      <c r="A315" s="53"/>
    </row>
    <row r="316" spans="1:1" s="70" customFormat="1" ht="10.5" customHeight="1" x14ac:dyDescent="0.25">
      <c r="A316" s="53"/>
    </row>
    <row r="317" spans="1:1" s="70" customFormat="1" ht="10.5" customHeight="1" x14ac:dyDescent="0.25">
      <c r="A317" s="53"/>
    </row>
    <row r="318" spans="1:1" s="70" customFormat="1" ht="10.5" customHeight="1" x14ac:dyDescent="0.25">
      <c r="A318" s="53"/>
    </row>
    <row r="319" spans="1:1" s="70" customFormat="1" ht="10.5" customHeight="1" x14ac:dyDescent="0.25">
      <c r="A319" s="53"/>
    </row>
    <row r="320" spans="1:1" s="70" customFormat="1" ht="10.5" customHeight="1" x14ac:dyDescent="0.25">
      <c r="A320" s="53"/>
    </row>
    <row r="321" spans="1:1" s="70" customFormat="1" ht="10.5" customHeight="1" x14ac:dyDescent="0.25">
      <c r="A321" s="53"/>
    </row>
    <row r="322" spans="1:1" s="70" customFormat="1" ht="10.5" customHeight="1" x14ac:dyDescent="0.25">
      <c r="A322" s="53"/>
    </row>
    <row r="323" spans="1:1" s="70" customFormat="1" ht="10.5" customHeight="1" x14ac:dyDescent="0.25">
      <c r="A323" s="53"/>
    </row>
    <row r="324" spans="1:1" s="70" customFormat="1" ht="10.5" customHeight="1" x14ac:dyDescent="0.25">
      <c r="A324" s="53"/>
    </row>
    <row r="325" spans="1:1" s="70" customFormat="1" ht="10.5" customHeight="1" x14ac:dyDescent="0.25">
      <c r="A325" s="53"/>
    </row>
    <row r="326" spans="1:1" s="70" customFormat="1" ht="10.5" customHeight="1" x14ac:dyDescent="0.25">
      <c r="A326" s="53"/>
    </row>
    <row r="327" spans="1:1" s="70" customFormat="1" ht="10.5" customHeight="1" x14ac:dyDescent="0.25">
      <c r="A327" s="53"/>
    </row>
    <row r="328" spans="1:1" s="70" customFormat="1" ht="10.5" customHeight="1" x14ac:dyDescent="0.25">
      <c r="A328" s="53"/>
    </row>
    <row r="329" spans="1:1" s="70" customFormat="1" ht="10.5" customHeight="1" x14ac:dyDescent="0.25">
      <c r="A329" s="53"/>
    </row>
    <row r="330" spans="1:1" s="70" customFormat="1" ht="10.5" customHeight="1" x14ac:dyDescent="0.25">
      <c r="A330" s="53"/>
    </row>
    <row r="331" spans="1:1" s="70" customFormat="1" ht="10.5" customHeight="1" x14ac:dyDescent="0.25">
      <c r="A331" s="53"/>
    </row>
    <row r="332" spans="1:1" s="70" customFormat="1" ht="10.5" customHeight="1" x14ac:dyDescent="0.25">
      <c r="A332" s="53"/>
    </row>
    <row r="333" spans="1:1" s="70" customFormat="1" ht="10.5" customHeight="1" x14ac:dyDescent="0.25">
      <c r="A333" s="53"/>
    </row>
    <row r="334" spans="1:1" s="70" customFormat="1" ht="10.5" customHeight="1" x14ac:dyDescent="0.25">
      <c r="A334" s="53"/>
    </row>
    <row r="335" spans="1:1" s="70" customFormat="1" ht="10.5" customHeight="1" x14ac:dyDescent="0.25">
      <c r="A335" s="53"/>
    </row>
    <row r="336" spans="1:1" s="70" customFormat="1" ht="10.5" customHeight="1" x14ac:dyDescent="0.25">
      <c r="A336" s="53"/>
    </row>
    <row r="337" spans="1:1" s="70" customFormat="1" ht="10.5" customHeight="1" x14ac:dyDescent="0.25">
      <c r="A337" s="53"/>
    </row>
    <row r="338" spans="1:1" s="70" customFormat="1" ht="10.5" customHeight="1" x14ac:dyDescent="0.25">
      <c r="A338" s="53"/>
    </row>
    <row r="339" spans="1:1" s="70" customFormat="1" ht="10.5" customHeight="1" x14ac:dyDescent="0.25">
      <c r="A339" s="53"/>
    </row>
    <row r="340" spans="1:1" s="70" customFormat="1" ht="10.5" customHeight="1" x14ac:dyDescent="0.25">
      <c r="A340" s="53"/>
    </row>
    <row r="341" spans="1:1" s="70" customFormat="1" ht="10.5" customHeight="1" x14ac:dyDescent="0.25">
      <c r="A341" s="53"/>
    </row>
    <row r="342" spans="1:1" s="70" customFormat="1" ht="10.5" customHeight="1" x14ac:dyDescent="0.25">
      <c r="A342" s="53"/>
    </row>
    <row r="343" spans="1:1" s="70" customFormat="1" ht="10.5" customHeight="1" x14ac:dyDescent="0.25">
      <c r="A343" s="53"/>
    </row>
    <row r="344" spans="1:1" s="70" customFormat="1" ht="10.5" customHeight="1" x14ac:dyDescent="0.25">
      <c r="A344" s="53"/>
    </row>
    <row r="345" spans="1:1" s="70" customFormat="1" ht="10.5" customHeight="1" x14ac:dyDescent="0.25">
      <c r="A345" s="53"/>
    </row>
    <row r="346" spans="1:1" s="70" customFormat="1" ht="10.5" customHeight="1" x14ac:dyDescent="0.25">
      <c r="A346" s="53"/>
    </row>
    <row r="347" spans="1:1" s="70" customFormat="1" ht="10.5" customHeight="1" x14ac:dyDescent="0.25">
      <c r="A347" s="53"/>
    </row>
    <row r="348" spans="1:1" s="70" customFormat="1" ht="10.5" customHeight="1" x14ac:dyDescent="0.25">
      <c r="A348" s="53"/>
    </row>
    <row r="349" spans="1:1" s="70" customFormat="1" ht="10.5" customHeight="1" x14ac:dyDescent="0.25">
      <c r="A349" s="53"/>
    </row>
    <row r="350" spans="1:1" s="70" customFormat="1" ht="10.5" customHeight="1" x14ac:dyDescent="0.25">
      <c r="A350" s="53"/>
    </row>
    <row r="351" spans="1:1" s="70" customFormat="1" ht="10.5" customHeight="1" x14ac:dyDescent="0.25">
      <c r="A351" s="53"/>
    </row>
    <row r="352" spans="1:1" s="70" customFormat="1" ht="10.5" customHeight="1" x14ac:dyDescent="0.25">
      <c r="A352" s="53"/>
    </row>
    <row r="353" spans="1:1" s="70" customFormat="1" ht="10.5" customHeight="1" x14ac:dyDescent="0.25">
      <c r="A353" s="53"/>
    </row>
    <row r="354" spans="1:1" s="70" customFormat="1" ht="10.5" customHeight="1" x14ac:dyDescent="0.25">
      <c r="A354" s="53"/>
    </row>
    <row r="355" spans="1:1" s="70" customFormat="1" ht="10.5" customHeight="1" x14ac:dyDescent="0.25">
      <c r="A355" s="53"/>
    </row>
    <row r="356" spans="1:1" s="70" customFormat="1" ht="10.5" customHeight="1" x14ac:dyDescent="0.25">
      <c r="A356" s="53"/>
    </row>
    <row r="357" spans="1:1" s="70" customFormat="1" ht="10.5" customHeight="1" x14ac:dyDescent="0.25">
      <c r="A357" s="53"/>
    </row>
    <row r="358" spans="1:1" s="70" customFormat="1" ht="10.5" customHeight="1" x14ac:dyDescent="0.25">
      <c r="A358" s="53"/>
    </row>
    <row r="359" spans="1:1" s="70" customFormat="1" ht="10.5" customHeight="1" x14ac:dyDescent="0.25">
      <c r="A359" s="53"/>
    </row>
    <row r="360" spans="1:1" s="70" customFormat="1" ht="10.5" customHeight="1" x14ac:dyDescent="0.25">
      <c r="A360" s="53"/>
    </row>
    <row r="361" spans="1:1" s="70" customFormat="1" ht="10.5" customHeight="1" x14ac:dyDescent="0.25">
      <c r="A361" s="53"/>
    </row>
    <row r="362" spans="1:1" s="70" customFormat="1" ht="10.5" customHeight="1" x14ac:dyDescent="0.25">
      <c r="A362" s="53"/>
    </row>
    <row r="363" spans="1:1" s="70" customFormat="1" ht="10.5" customHeight="1" x14ac:dyDescent="0.25">
      <c r="A363" s="53"/>
    </row>
    <row r="364" spans="1:1" s="70" customFormat="1" ht="10.5" customHeight="1" x14ac:dyDescent="0.25">
      <c r="A364" s="53"/>
    </row>
    <row r="365" spans="1:1" s="70" customFormat="1" ht="10.5" customHeight="1" x14ac:dyDescent="0.25">
      <c r="A365" s="53"/>
    </row>
    <row r="366" spans="1:1" s="70" customFormat="1" ht="10.5" customHeight="1" x14ac:dyDescent="0.25">
      <c r="A366" s="53"/>
    </row>
    <row r="367" spans="1:1" s="70" customFormat="1" ht="10.5" customHeight="1" x14ac:dyDescent="0.25">
      <c r="A367" s="53"/>
    </row>
    <row r="368" spans="1:1" s="70" customFormat="1" ht="10.5" customHeight="1" x14ac:dyDescent="0.25">
      <c r="A368" s="53"/>
    </row>
    <row r="369" spans="1:1" s="70" customFormat="1" ht="10.5" customHeight="1" x14ac:dyDescent="0.25">
      <c r="A369" s="53"/>
    </row>
    <row r="370" spans="1:1" s="70" customFormat="1" ht="10.5" customHeight="1" x14ac:dyDescent="0.25">
      <c r="A370" s="53"/>
    </row>
    <row r="371" spans="1:1" s="70" customFormat="1" ht="10.5" customHeight="1" x14ac:dyDescent="0.25">
      <c r="A371" s="53"/>
    </row>
    <row r="372" spans="1:1" s="70" customFormat="1" ht="10.5" customHeight="1" x14ac:dyDescent="0.25">
      <c r="A372" s="53"/>
    </row>
    <row r="373" spans="1:1" s="70" customFormat="1" ht="10.5" customHeight="1" x14ac:dyDescent="0.25">
      <c r="A373" s="53"/>
    </row>
    <row r="374" spans="1:1" s="70" customFormat="1" ht="10.5" customHeight="1" x14ac:dyDescent="0.25">
      <c r="A374" s="53"/>
    </row>
    <row r="375" spans="1:1" s="70" customFormat="1" ht="10.5" customHeight="1" x14ac:dyDescent="0.25">
      <c r="A375" s="53"/>
    </row>
    <row r="376" spans="1:1" s="70" customFormat="1" ht="10.5" customHeight="1" x14ac:dyDescent="0.25">
      <c r="A376" s="53"/>
    </row>
    <row r="377" spans="1:1" s="70" customFormat="1" ht="10.5" customHeight="1" x14ac:dyDescent="0.25">
      <c r="A377" s="53"/>
    </row>
    <row r="378" spans="1:1" s="70" customFormat="1" ht="10.5" customHeight="1" x14ac:dyDescent="0.25">
      <c r="A378" s="53"/>
    </row>
    <row r="379" spans="1:1" s="70" customFormat="1" ht="10.5" customHeight="1" x14ac:dyDescent="0.25">
      <c r="A379" s="53"/>
    </row>
    <row r="380" spans="1:1" s="70" customFormat="1" ht="10.5" customHeight="1" x14ac:dyDescent="0.25">
      <c r="A380" s="53"/>
    </row>
    <row r="381" spans="1:1" s="70" customFormat="1" ht="10.5" customHeight="1" x14ac:dyDescent="0.25">
      <c r="A381" s="53"/>
    </row>
    <row r="382" spans="1:1" s="70" customFormat="1" ht="10.5" customHeight="1" x14ac:dyDescent="0.25">
      <c r="A382" s="53"/>
    </row>
    <row r="383" spans="1:1" s="70" customFormat="1" ht="10.5" customHeight="1" x14ac:dyDescent="0.25">
      <c r="A383" s="53"/>
    </row>
    <row r="384" spans="1:1" s="70" customFormat="1" ht="10.5" customHeight="1" x14ac:dyDescent="0.25">
      <c r="A384" s="53"/>
    </row>
    <row r="385" spans="1:1" s="70" customFormat="1" ht="10.5" customHeight="1" x14ac:dyDescent="0.25">
      <c r="A385" s="53"/>
    </row>
    <row r="386" spans="1:1" s="70" customFormat="1" ht="10.5" customHeight="1" x14ac:dyDescent="0.25">
      <c r="A386" s="53"/>
    </row>
    <row r="387" spans="1:1" s="70" customFormat="1" ht="10.5" customHeight="1" x14ac:dyDescent="0.25">
      <c r="A387" s="53"/>
    </row>
    <row r="388" spans="1:1" s="70" customFormat="1" ht="10.5" customHeight="1" x14ac:dyDescent="0.25">
      <c r="A388" s="53"/>
    </row>
    <row r="389" spans="1:1" s="70" customFormat="1" ht="10.5" customHeight="1" x14ac:dyDescent="0.25">
      <c r="A389" s="53"/>
    </row>
    <row r="390" spans="1:1" s="70" customFormat="1" ht="10.5" customHeight="1" x14ac:dyDescent="0.25">
      <c r="A390" s="53"/>
    </row>
    <row r="391" spans="1:1" s="70" customFormat="1" ht="10.5" customHeight="1" x14ac:dyDescent="0.25">
      <c r="A391" s="53"/>
    </row>
    <row r="392" spans="1:1" s="70" customFormat="1" ht="10.5" customHeight="1" x14ac:dyDescent="0.25">
      <c r="A392" s="53"/>
    </row>
    <row r="393" spans="1:1" s="70" customFormat="1" ht="10.5" customHeight="1" x14ac:dyDescent="0.25">
      <c r="A393" s="53"/>
    </row>
    <row r="394" spans="1:1" s="70" customFormat="1" ht="10.5" customHeight="1" x14ac:dyDescent="0.25">
      <c r="A394" s="53"/>
    </row>
    <row r="395" spans="1:1" s="70" customFormat="1" ht="10.5" customHeight="1" x14ac:dyDescent="0.25">
      <c r="A395" s="53"/>
    </row>
    <row r="396" spans="1:1" s="70" customFormat="1" ht="10.5" customHeight="1" x14ac:dyDescent="0.25">
      <c r="A396" s="53"/>
    </row>
    <row r="397" spans="1:1" s="70" customFormat="1" ht="10.5" customHeight="1" x14ac:dyDescent="0.25">
      <c r="A397" s="53"/>
    </row>
    <row r="398" spans="1:1" s="70" customFormat="1" ht="10.5" customHeight="1" x14ac:dyDescent="0.25">
      <c r="A398" s="53"/>
    </row>
    <row r="399" spans="1:1" s="70" customFormat="1" ht="10.5" customHeight="1" x14ac:dyDescent="0.25">
      <c r="A399" s="53"/>
    </row>
    <row r="400" spans="1:1" s="70" customFormat="1" ht="10.5" customHeight="1" x14ac:dyDescent="0.25">
      <c r="A400" s="53"/>
    </row>
    <row r="401" spans="1:1" s="70" customFormat="1" ht="10.5" customHeight="1" x14ac:dyDescent="0.25">
      <c r="A401" s="53"/>
    </row>
    <row r="402" spans="1:1" s="70" customFormat="1" ht="10.5" customHeight="1" x14ac:dyDescent="0.25">
      <c r="A402" s="53"/>
    </row>
    <row r="403" spans="1:1" s="70" customFormat="1" ht="10.5" customHeight="1" x14ac:dyDescent="0.25">
      <c r="A403" s="53"/>
    </row>
    <row r="404" spans="1:1" s="70" customFormat="1" ht="10.5" customHeight="1" x14ac:dyDescent="0.25">
      <c r="A404" s="53"/>
    </row>
    <row r="405" spans="1:1" s="70" customFormat="1" ht="10.5" customHeight="1" x14ac:dyDescent="0.25">
      <c r="A405" s="53"/>
    </row>
    <row r="406" spans="1:1" s="70" customFormat="1" ht="10.5" customHeight="1" x14ac:dyDescent="0.25">
      <c r="A406" s="53"/>
    </row>
    <row r="407" spans="1:1" s="70" customFormat="1" ht="10.5" customHeight="1" x14ac:dyDescent="0.25">
      <c r="A407" s="53"/>
    </row>
    <row r="408" spans="1:1" s="70" customFormat="1" ht="10.5" customHeight="1" x14ac:dyDescent="0.25">
      <c r="A408" s="53"/>
    </row>
    <row r="409" spans="1:1" s="70" customFormat="1" ht="10.5" customHeight="1" x14ac:dyDescent="0.25">
      <c r="A409" s="53"/>
    </row>
    <row r="410" spans="1:1" s="70" customFormat="1" ht="10.5" customHeight="1" x14ac:dyDescent="0.25">
      <c r="A410" s="53"/>
    </row>
    <row r="411" spans="1:1" s="70" customFormat="1" ht="10.5" customHeight="1" x14ac:dyDescent="0.25">
      <c r="A411" s="53"/>
    </row>
    <row r="412" spans="1:1" s="70" customFormat="1" ht="10.5" customHeight="1" x14ac:dyDescent="0.25">
      <c r="A412" s="53"/>
    </row>
    <row r="413" spans="1:1" s="70" customFormat="1" ht="10.5" customHeight="1" x14ac:dyDescent="0.25">
      <c r="A413" s="53"/>
    </row>
    <row r="414" spans="1:1" s="70" customFormat="1" ht="10.5" customHeight="1" x14ac:dyDescent="0.25">
      <c r="A414" s="53"/>
    </row>
    <row r="415" spans="1:1" s="70" customFormat="1" ht="10.5" customHeight="1" x14ac:dyDescent="0.25">
      <c r="A415" s="53"/>
    </row>
    <row r="416" spans="1:1" s="70" customFormat="1" ht="10.5" customHeight="1" x14ac:dyDescent="0.25">
      <c r="A416" s="53"/>
    </row>
    <row r="417" spans="1:1" s="70" customFormat="1" ht="10.5" customHeight="1" x14ac:dyDescent="0.25">
      <c r="A417" s="53"/>
    </row>
    <row r="418" spans="1:1" s="70" customFormat="1" ht="10.5" customHeight="1" x14ac:dyDescent="0.25">
      <c r="A418" s="53"/>
    </row>
    <row r="419" spans="1:1" s="70" customFormat="1" ht="10.5" customHeight="1" x14ac:dyDescent="0.25">
      <c r="A419" s="53"/>
    </row>
    <row r="420" spans="1:1" s="70" customFormat="1" ht="10.5" customHeight="1" x14ac:dyDescent="0.25">
      <c r="A420" s="53"/>
    </row>
    <row r="421" spans="1:1" s="70" customFormat="1" ht="10.5" customHeight="1" x14ac:dyDescent="0.25">
      <c r="A421" s="53"/>
    </row>
    <row r="422" spans="1:1" s="70" customFormat="1" ht="10.5" customHeight="1" x14ac:dyDescent="0.25">
      <c r="A422" s="53"/>
    </row>
    <row r="423" spans="1:1" s="70" customFormat="1" ht="10.5" customHeight="1" x14ac:dyDescent="0.25">
      <c r="A423" s="53"/>
    </row>
    <row r="424" spans="1:1" s="70" customFormat="1" ht="10.5" customHeight="1" x14ac:dyDescent="0.25">
      <c r="A424" s="53"/>
    </row>
    <row r="425" spans="1:1" s="70" customFormat="1" ht="10.5" customHeight="1" x14ac:dyDescent="0.25">
      <c r="A425" s="53"/>
    </row>
    <row r="426" spans="1:1" s="70" customFormat="1" ht="10.5" customHeight="1" x14ac:dyDescent="0.25">
      <c r="A426" s="53"/>
    </row>
    <row r="427" spans="1:1" s="70" customFormat="1" ht="10.5" customHeight="1" x14ac:dyDescent="0.25">
      <c r="A427" s="53"/>
    </row>
    <row r="428" spans="1:1" s="70" customFormat="1" ht="10.5" customHeight="1" x14ac:dyDescent="0.25">
      <c r="A428" s="53"/>
    </row>
    <row r="429" spans="1:1" s="70" customFormat="1" ht="10.5" customHeight="1" x14ac:dyDescent="0.25">
      <c r="A429" s="53"/>
    </row>
    <row r="430" spans="1:1" s="70" customFormat="1" ht="10.5" customHeight="1" x14ac:dyDescent="0.25">
      <c r="A430" s="53"/>
    </row>
    <row r="431" spans="1:1" s="70" customFormat="1" ht="10.5" customHeight="1" x14ac:dyDescent="0.25">
      <c r="A431" s="53"/>
    </row>
    <row r="432" spans="1:1" s="70" customFormat="1" ht="10.5" customHeight="1" x14ac:dyDescent="0.25">
      <c r="A432" s="53"/>
    </row>
    <row r="433" spans="1:1" s="70" customFormat="1" ht="10.5" customHeight="1" x14ac:dyDescent="0.25">
      <c r="A433" s="53"/>
    </row>
    <row r="434" spans="1:1" s="70" customFormat="1" ht="10.5" customHeight="1" x14ac:dyDescent="0.25">
      <c r="A434" s="53"/>
    </row>
    <row r="435" spans="1:1" s="70" customFormat="1" ht="10.5" customHeight="1" x14ac:dyDescent="0.25">
      <c r="A435" s="53"/>
    </row>
    <row r="436" spans="1:1" s="70" customFormat="1" ht="10.5" customHeight="1" x14ac:dyDescent="0.25">
      <c r="A436" s="53"/>
    </row>
    <row r="437" spans="1:1" s="70" customFormat="1" ht="10.5" customHeight="1" x14ac:dyDescent="0.25">
      <c r="A437" s="53"/>
    </row>
    <row r="438" spans="1:1" s="70" customFormat="1" ht="10.5" customHeight="1" x14ac:dyDescent="0.25">
      <c r="A438" s="53"/>
    </row>
    <row r="439" spans="1:1" s="70" customFormat="1" ht="10.5" customHeight="1" x14ac:dyDescent="0.25">
      <c r="A439" s="53"/>
    </row>
    <row r="440" spans="1:1" s="70" customFormat="1" ht="10.5" customHeight="1" x14ac:dyDescent="0.25">
      <c r="A440" s="53"/>
    </row>
    <row r="441" spans="1:1" s="70" customFormat="1" ht="10.5" customHeight="1" x14ac:dyDescent="0.25">
      <c r="A441" s="53"/>
    </row>
    <row r="442" spans="1:1" s="70" customFormat="1" ht="10.5" customHeight="1" x14ac:dyDescent="0.25">
      <c r="A442" s="53"/>
    </row>
    <row r="443" spans="1:1" s="70" customFormat="1" ht="10.5" customHeight="1" x14ac:dyDescent="0.25">
      <c r="A443" s="53"/>
    </row>
    <row r="444" spans="1:1" s="70" customFormat="1" ht="10.5" customHeight="1" x14ac:dyDescent="0.25">
      <c r="A444" s="53"/>
    </row>
    <row r="445" spans="1:1" s="70" customFormat="1" ht="10.5" customHeight="1" x14ac:dyDescent="0.25">
      <c r="A445" s="53"/>
    </row>
    <row r="446" spans="1:1" s="70" customFormat="1" ht="10.5" customHeight="1" x14ac:dyDescent="0.25">
      <c r="A446" s="53"/>
    </row>
    <row r="447" spans="1:1" s="70" customFormat="1" ht="10.5" customHeight="1" x14ac:dyDescent="0.25">
      <c r="A447" s="53"/>
    </row>
    <row r="448" spans="1:1" s="70" customFormat="1" ht="10.5" customHeight="1" x14ac:dyDescent="0.25">
      <c r="A448" s="53"/>
    </row>
    <row r="449" spans="1:1" s="70" customFormat="1" ht="10.5" customHeight="1" x14ac:dyDescent="0.25">
      <c r="A449" s="53"/>
    </row>
    <row r="450" spans="1:1" s="70" customFormat="1" ht="10.5" customHeight="1" x14ac:dyDescent="0.25">
      <c r="A450" s="53"/>
    </row>
    <row r="451" spans="1:1" s="70" customFormat="1" ht="10.5" customHeight="1" x14ac:dyDescent="0.25">
      <c r="A451" s="53"/>
    </row>
    <row r="452" spans="1:1" s="70" customFormat="1" ht="10.5" customHeight="1" x14ac:dyDescent="0.25">
      <c r="A452" s="53"/>
    </row>
    <row r="453" spans="1:1" s="70" customFormat="1" ht="10.5" customHeight="1" x14ac:dyDescent="0.25">
      <c r="A453" s="53"/>
    </row>
    <row r="454" spans="1:1" s="70" customFormat="1" ht="10.5" customHeight="1" x14ac:dyDescent="0.25">
      <c r="A454" s="53"/>
    </row>
    <row r="455" spans="1:1" s="70" customFormat="1" ht="10.5" customHeight="1" x14ac:dyDescent="0.25">
      <c r="A455" s="53"/>
    </row>
    <row r="456" spans="1:1" s="70" customFormat="1" ht="10.5" customHeight="1" x14ac:dyDescent="0.25">
      <c r="A456" s="53"/>
    </row>
    <row r="457" spans="1:1" s="70" customFormat="1" ht="10.5" customHeight="1" x14ac:dyDescent="0.25">
      <c r="A457" s="53"/>
    </row>
    <row r="458" spans="1:1" s="70" customFormat="1" ht="10.5" customHeight="1" x14ac:dyDescent="0.25">
      <c r="A458" s="53"/>
    </row>
    <row r="459" spans="1:1" s="70" customFormat="1" ht="10.5" customHeight="1" x14ac:dyDescent="0.25">
      <c r="A459" s="53"/>
    </row>
    <row r="460" spans="1:1" s="70" customFormat="1" ht="10.5" customHeight="1" x14ac:dyDescent="0.25">
      <c r="A460" s="53"/>
    </row>
    <row r="461" spans="1:1" s="70" customFormat="1" ht="10.5" customHeight="1" x14ac:dyDescent="0.25">
      <c r="A461" s="53"/>
    </row>
    <row r="462" spans="1:1" s="70" customFormat="1" ht="10.5" customHeight="1" x14ac:dyDescent="0.25">
      <c r="A462" s="53"/>
    </row>
    <row r="463" spans="1:1" s="70" customFormat="1" ht="10.5" customHeight="1" x14ac:dyDescent="0.25">
      <c r="A463" s="53"/>
    </row>
    <row r="464" spans="1:1" s="70" customFormat="1" ht="10.5" customHeight="1" x14ac:dyDescent="0.25">
      <c r="A464" s="53"/>
    </row>
    <row r="465" spans="1:1" s="70" customFormat="1" ht="10.5" customHeight="1" x14ac:dyDescent="0.25">
      <c r="A465" s="53"/>
    </row>
    <row r="466" spans="1:1" s="70" customFormat="1" ht="10.5" customHeight="1" x14ac:dyDescent="0.25">
      <c r="A466" s="53"/>
    </row>
    <row r="467" spans="1:1" s="70" customFormat="1" ht="10.5" customHeight="1" x14ac:dyDescent="0.25">
      <c r="A467" s="53"/>
    </row>
    <row r="468" spans="1:1" s="70" customFormat="1" ht="10.5" customHeight="1" x14ac:dyDescent="0.25">
      <c r="A468" s="53"/>
    </row>
    <row r="469" spans="1:1" s="70" customFormat="1" ht="10.5" customHeight="1" x14ac:dyDescent="0.25">
      <c r="A469" s="53"/>
    </row>
    <row r="470" spans="1:1" s="70" customFormat="1" ht="10.5" customHeight="1" x14ac:dyDescent="0.25">
      <c r="A470" s="53"/>
    </row>
    <row r="471" spans="1:1" s="70" customFormat="1" ht="10.5" customHeight="1" x14ac:dyDescent="0.25">
      <c r="A471" s="53"/>
    </row>
    <row r="472" spans="1:1" s="70" customFormat="1" ht="10.5" customHeight="1" x14ac:dyDescent="0.25">
      <c r="A472" s="53"/>
    </row>
    <row r="473" spans="1:1" s="70" customFormat="1" ht="10.5" customHeight="1" x14ac:dyDescent="0.25">
      <c r="A473" s="53"/>
    </row>
    <row r="474" spans="1:1" s="70" customFormat="1" ht="10.5" customHeight="1" x14ac:dyDescent="0.25">
      <c r="A474" s="53"/>
    </row>
    <row r="475" spans="1:1" s="70" customFormat="1" ht="10.5" customHeight="1" x14ac:dyDescent="0.25">
      <c r="A475" s="53"/>
    </row>
    <row r="476" spans="1:1" s="70" customFormat="1" ht="10.5" customHeight="1" x14ac:dyDescent="0.25">
      <c r="A476" s="53"/>
    </row>
    <row r="477" spans="1:1" s="70" customFormat="1" ht="10.5" customHeight="1" x14ac:dyDescent="0.25">
      <c r="A477" s="53"/>
    </row>
    <row r="478" spans="1:1" s="70" customFormat="1" ht="10.5" customHeight="1" x14ac:dyDescent="0.25">
      <c r="A478" s="53"/>
    </row>
    <row r="479" spans="1:1" s="70" customFormat="1" ht="10.5" customHeight="1" x14ac:dyDescent="0.25">
      <c r="A479" s="53"/>
    </row>
    <row r="480" spans="1:1" s="70" customFormat="1" ht="10.5" customHeight="1" x14ac:dyDescent="0.25">
      <c r="A480" s="53"/>
    </row>
    <row r="481" spans="1:1" s="70" customFormat="1" ht="10.5" customHeight="1" x14ac:dyDescent="0.25">
      <c r="A481" s="53"/>
    </row>
    <row r="482" spans="1:1" s="70" customFormat="1" ht="10.5" customHeight="1" x14ac:dyDescent="0.25">
      <c r="A482" s="53"/>
    </row>
    <row r="483" spans="1:1" s="70" customFormat="1" ht="10.5" customHeight="1" x14ac:dyDescent="0.25">
      <c r="A483" s="53"/>
    </row>
    <row r="484" spans="1:1" s="70" customFormat="1" ht="10.5" customHeight="1" x14ac:dyDescent="0.25">
      <c r="A484" s="53"/>
    </row>
    <row r="485" spans="1:1" s="70" customFormat="1" ht="10.5" customHeight="1" x14ac:dyDescent="0.25">
      <c r="A485" s="53"/>
    </row>
    <row r="486" spans="1:1" s="70" customFormat="1" ht="10.5" customHeight="1" x14ac:dyDescent="0.25">
      <c r="A486" s="53"/>
    </row>
    <row r="487" spans="1:1" s="70" customFormat="1" ht="10.5" customHeight="1" x14ac:dyDescent="0.25">
      <c r="A487" s="53"/>
    </row>
    <row r="488" spans="1:1" s="70" customFormat="1" ht="10.5" customHeight="1" x14ac:dyDescent="0.25">
      <c r="A488" s="53"/>
    </row>
    <row r="489" spans="1:1" s="70" customFormat="1" ht="10.5" customHeight="1" x14ac:dyDescent="0.25">
      <c r="A489" s="53"/>
    </row>
    <row r="490" spans="1:1" s="70" customFormat="1" ht="10.5" customHeight="1" x14ac:dyDescent="0.25">
      <c r="A490" s="53"/>
    </row>
    <row r="491" spans="1:1" s="70" customFormat="1" ht="10.5" customHeight="1" x14ac:dyDescent="0.25">
      <c r="A491" s="53"/>
    </row>
    <row r="492" spans="1:1" s="70" customFormat="1" ht="10.5" customHeight="1" x14ac:dyDescent="0.25">
      <c r="A492" s="53"/>
    </row>
    <row r="493" spans="1:1" s="70" customFormat="1" ht="10.5" customHeight="1" x14ac:dyDescent="0.25">
      <c r="A493" s="53"/>
    </row>
    <row r="494" spans="1:1" s="70" customFormat="1" ht="10.5" customHeight="1" x14ac:dyDescent="0.25">
      <c r="A494" s="53"/>
    </row>
    <row r="495" spans="1:1" s="70" customFormat="1" ht="10.5" customHeight="1" x14ac:dyDescent="0.25">
      <c r="A495" s="53"/>
    </row>
    <row r="496" spans="1:1" s="70" customFormat="1" ht="10.5" customHeight="1" x14ac:dyDescent="0.25">
      <c r="A496" s="53"/>
    </row>
    <row r="497" spans="1:1" s="70" customFormat="1" ht="10.5" customHeight="1" x14ac:dyDescent="0.25">
      <c r="A497" s="53"/>
    </row>
    <row r="498" spans="1:1" s="70" customFormat="1" ht="10.5" customHeight="1" x14ac:dyDescent="0.25">
      <c r="A498" s="53"/>
    </row>
    <row r="499" spans="1:1" s="70" customFormat="1" ht="10.5" customHeight="1" x14ac:dyDescent="0.25">
      <c r="A499" s="53"/>
    </row>
    <row r="500" spans="1:1" s="70" customFormat="1" ht="10.5" customHeight="1" x14ac:dyDescent="0.25">
      <c r="A500" s="53"/>
    </row>
    <row r="501" spans="1:1" s="70" customFormat="1" ht="10.5" customHeight="1" x14ac:dyDescent="0.25">
      <c r="A501" s="53"/>
    </row>
    <row r="502" spans="1:1" s="70" customFormat="1" ht="10.5" customHeight="1" x14ac:dyDescent="0.25">
      <c r="A502" s="53"/>
    </row>
    <row r="503" spans="1:1" s="70" customFormat="1" ht="10.5" customHeight="1" x14ac:dyDescent="0.25">
      <c r="A503" s="53"/>
    </row>
    <row r="504" spans="1:1" s="70" customFormat="1" ht="10.5" customHeight="1" x14ac:dyDescent="0.25">
      <c r="A504" s="53"/>
    </row>
    <row r="505" spans="1:1" s="70" customFormat="1" ht="10.5" customHeight="1" x14ac:dyDescent="0.25">
      <c r="A505" s="53"/>
    </row>
    <row r="506" spans="1:1" s="70" customFormat="1" ht="10.5" customHeight="1" x14ac:dyDescent="0.25">
      <c r="A506" s="53"/>
    </row>
    <row r="507" spans="1:1" s="70" customFormat="1" ht="10.5" customHeight="1" x14ac:dyDescent="0.25">
      <c r="A507" s="53"/>
    </row>
    <row r="508" spans="1:1" s="70" customFormat="1" ht="10.5" customHeight="1" x14ac:dyDescent="0.25">
      <c r="A508" s="53"/>
    </row>
    <row r="509" spans="1:1" s="70" customFormat="1" ht="10.5" customHeight="1" x14ac:dyDescent="0.25">
      <c r="A509" s="53"/>
    </row>
    <row r="510" spans="1:1" s="70" customFormat="1" ht="10.5" customHeight="1" x14ac:dyDescent="0.25">
      <c r="A510" s="53"/>
    </row>
    <row r="511" spans="1:1" s="70" customFormat="1" ht="10.5" customHeight="1" x14ac:dyDescent="0.25">
      <c r="A511" s="53"/>
    </row>
    <row r="512" spans="1:1" s="70" customFormat="1" ht="10.5" customHeight="1" x14ac:dyDescent="0.25">
      <c r="A512" s="53"/>
    </row>
    <row r="513" spans="1:1" s="70" customFormat="1" ht="10.5" customHeight="1" x14ac:dyDescent="0.25">
      <c r="A513" s="53"/>
    </row>
    <row r="514" spans="1:1" s="70" customFormat="1" ht="10.5" customHeight="1" x14ac:dyDescent="0.25">
      <c r="A514" s="53"/>
    </row>
    <row r="515" spans="1:1" s="70" customFormat="1" ht="10.5" customHeight="1" x14ac:dyDescent="0.25">
      <c r="A515" s="53"/>
    </row>
    <row r="516" spans="1:1" s="70" customFormat="1" ht="10.5" customHeight="1" x14ac:dyDescent="0.25">
      <c r="A516" s="53"/>
    </row>
    <row r="517" spans="1:1" s="70" customFormat="1" ht="10.5" customHeight="1" x14ac:dyDescent="0.25">
      <c r="A517" s="53"/>
    </row>
    <row r="518" spans="1:1" s="70" customFormat="1" ht="10.5" customHeight="1" x14ac:dyDescent="0.25">
      <c r="A518" s="53"/>
    </row>
    <row r="519" spans="1:1" s="70" customFormat="1" ht="10.5" customHeight="1" x14ac:dyDescent="0.25">
      <c r="A519" s="53"/>
    </row>
    <row r="520" spans="1:1" s="70" customFormat="1" ht="10.5" customHeight="1" x14ac:dyDescent="0.25">
      <c r="A520" s="53"/>
    </row>
    <row r="521" spans="1:1" s="70" customFormat="1" ht="10.5" customHeight="1" x14ac:dyDescent="0.25">
      <c r="A521" s="53"/>
    </row>
    <row r="522" spans="1:1" s="70" customFormat="1" ht="10.5" customHeight="1" x14ac:dyDescent="0.25">
      <c r="A522" s="53"/>
    </row>
    <row r="523" spans="1:1" s="70" customFormat="1" ht="10.5" customHeight="1" x14ac:dyDescent="0.25">
      <c r="A523" s="53"/>
    </row>
    <row r="524" spans="1:1" s="70" customFormat="1" ht="10.5" customHeight="1" x14ac:dyDescent="0.25">
      <c r="A524" s="53"/>
    </row>
    <row r="525" spans="1:1" s="70" customFormat="1" ht="10.5" customHeight="1" x14ac:dyDescent="0.25">
      <c r="A525" s="53"/>
    </row>
    <row r="526" spans="1:1" s="70" customFormat="1" ht="10.5" customHeight="1" x14ac:dyDescent="0.25">
      <c r="A526" s="53"/>
    </row>
    <row r="527" spans="1:1" s="70" customFormat="1" ht="10.5" customHeight="1" x14ac:dyDescent="0.25">
      <c r="A527" s="53"/>
    </row>
    <row r="528" spans="1:1" s="70" customFormat="1" ht="10.5" customHeight="1" x14ac:dyDescent="0.25">
      <c r="A528" s="53"/>
    </row>
    <row r="529" spans="1:32" s="70" customFormat="1" ht="10.5" customHeight="1" x14ac:dyDescent="0.25">
      <c r="A529" s="53"/>
    </row>
    <row r="530" spans="1:32" s="70" customFormat="1" ht="10.5" customHeight="1" x14ac:dyDescent="0.25">
      <c r="A530" s="53"/>
    </row>
    <row r="531" spans="1:32" s="70" customFormat="1" ht="10.5" customHeight="1" x14ac:dyDescent="0.25">
      <c r="A531" s="53"/>
    </row>
    <row r="532" spans="1:32" s="70" customFormat="1" ht="10.5" customHeight="1" x14ac:dyDescent="0.25">
      <c r="A532" s="53"/>
    </row>
    <row r="533" spans="1:32" s="70" customFormat="1" ht="10.5" customHeight="1" x14ac:dyDescent="0.25">
      <c r="A533" s="53"/>
    </row>
    <row r="534" spans="1:32" s="70" customFormat="1" ht="10.5" customHeight="1" x14ac:dyDescent="0.25">
      <c r="A534" s="53"/>
    </row>
    <row r="535" spans="1:32" s="70" customFormat="1" ht="10.5" customHeight="1" x14ac:dyDescent="0.25">
      <c r="A535" s="53"/>
    </row>
    <row r="536" spans="1:32" s="70" customFormat="1" ht="10.5" customHeight="1" x14ac:dyDescent="0.25">
      <c r="A536" s="53"/>
    </row>
    <row r="537" spans="1:32" s="70" customFormat="1" ht="10.5" customHeight="1" x14ac:dyDescent="0.25">
      <c r="A537" s="53"/>
    </row>
    <row r="538" spans="1:32" s="70" customFormat="1" ht="10.5" customHeight="1" x14ac:dyDescent="0.25">
      <c r="A538" s="53"/>
    </row>
    <row r="539" spans="1:32" s="70" customFormat="1" ht="10.5" customHeight="1" x14ac:dyDescent="0.25">
      <c r="A539" s="53"/>
    </row>
    <row r="540" spans="1:32" ht="10.5" customHeight="1" x14ac:dyDescent="0.25">
      <c r="A540" s="108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</row>
  </sheetData>
  <mergeCells count="10">
    <mergeCell ref="A3:B3"/>
    <mergeCell ref="A14:B14"/>
    <mergeCell ref="A26:B26"/>
    <mergeCell ref="A38:B38"/>
    <mergeCell ref="A49:B49"/>
    <mergeCell ref="B126:B128"/>
    <mergeCell ref="A60:B60"/>
    <mergeCell ref="A71:B71"/>
    <mergeCell ref="A83:B83"/>
    <mergeCell ref="A93:B9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32"/>
  <sheetViews>
    <sheetView topLeftCell="A196" zoomScale="90" zoomScaleNormal="90" workbookViewId="0">
      <selection activeCell="W16" sqref="W16"/>
    </sheetView>
  </sheetViews>
  <sheetFormatPr defaultColWidth="5.6640625" defaultRowHeight="11.4" customHeight="1" x14ac:dyDescent="0.25"/>
  <cols>
    <col min="1" max="1" width="2.44140625" style="10" customWidth="1"/>
    <col min="2" max="2" width="5.6640625" style="2"/>
    <col min="3" max="3" width="35.5546875" style="1" customWidth="1"/>
    <col min="4" max="4" width="5.44140625" style="124" customWidth="1"/>
    <col min="5" max="6" width="5.44140625" style="3" customWidth="1"/>
    <col min="7" max="7" width="6.33203125" style="3" customWidth="1"/>
    <col min="8" max="8" width="6.109375" style="9" customWidth="1"/>
    <col min="9" max="13" width="5.44140625" style="9" customWidth="1"/>
    <col min="14" max="15" width="6.109375" style="9" customWidth="1"/>
    <col min="16" max="16" width="6.88671875" style="9" customWidth="1"/>
    <col min="17" max="18" width="5.44140625" style="9" customWidth="1"/>
    <col min="19" max="19" width="5.44140625" style="38" customWidth="1"/>
    <col min="20" max="20" width="6.44140625" style="31"/>
    <col min="21" max="16384" width="5.6640625" style="72"/>
  </cols>
  <sheetData>
    <row r="1" spans="1:20" s="133" customFormat="1" ht="19.95" customHeight="1" x14ac:dyDescent="0.3">
      <c r="A1" s="128" t="s">
        <v>176</v>
      </c>
      <c r="B1" s="129"/>
      <c r="C1" s="129"/>
      <c r="D1" s="130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31"/>
      <c r="T1" s="132"/>
    </row>
    <row r="2" spans="1:20" ht="11.4" customHeight="1" x14ac:dyDescent="0.25">
      <c r="A2" s="165"/>
      <c r="B2" s="167" t="s">
        <v>64</v>
      </c>
      <c r="C2" s="169" t="s">
        <v>65</v>
      </c>
      <c r="D2" s="173" t="s">
        <v>66</v>
      </c>
      <c r="E2" s="175" t="s">
        <v>67</v>
      </c>
      <c r="F2" s="175"/>
      <c r="G2" s="175"/>
      <c r="H2" s="175" t="s">
        <v>68</v>
      </c>
      <c r="I2" s="175" t="s">
        <v>69</v>
      </c>
      <c r="J2" s="175"/>
      <c r="K2" s="175"/>
      <c r="L2" s="175"/>
      <c r="M2" s="175"/>
      <c r="N2" s="175" t="s">
        <v>70</v>
      </c>
      <c r="O2" s="175"/>
      <c r="P2" s="175"/>
      <c r="Q2" s="175"/>
      <c r="R2" s="175"/>
      <c r="S2" s="113"/>
    </row>
    <row r="3" spans="1:20" ht="51.6" customHeight="1" x14ac:dyDescent="0.25">
      <c r="A3" s="166"/>
      <c r="B3" s="168"/>
      <c r="C3" s="170"/>
      <c r="D3" s="174"/>
      <c r="E3" s="4" t="s">
        <v>71</v>
      </c>
      <c r="F3" s="4" t="s">
        <v>72</v>
      </c>
      <c r="G3" s="4" t="s">
        <v>73</v>
      </c>
      <c r="H3" s="175"/>
      <c r="I3" s="4" t="s">
        <v>74</v>
      </c>
      <c r="J3" s="4" t="s">
        <v>75</v>
      </c>
      <c r="K3" s="4" t="s">
        <v>76</v>
      </c>
      <c r="L3" s="4" t="s">
        <v>77</v>
      </c>
      <c r="M3" s="4" t="s">
        <v>78</v>
      </c>
      <c r="N3" s="4" t="s">
        <v>79</v>
      </c>
      <c r="O3" s="4" t="s">
        <v>80</v>
      </c>
      <c r="P3" s="4" t="s">
        <v>81</v>
      </c>
      <c r="Q3" s="4" t="s">
        <v>82</v>
      </c>
      <c r="R3" s="4" t="s">
        <v>92</v>
      </c>
      <c r="S3" s="4" t="s">
        <v>93</v>
      </c>
    </row>
    <row r="4" spans="1:20" ht="11.4" customHeight="1" x14ac:dyDescent="0.25">
      <c r="B4" s="171" t="s">
        <v>135</v>
      </c>
      <c r="C4" s="172"/>
      <c r="D4" s="11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15"/>
    </row>
    <row r="5" spans="1:20" ht="11.4" customHeight="1" x14ac:dyDescent="0.25">
      <c r="B5" s="18"/>
      <c r="C5" s="13" t="s">
        <v>150</v>
      </c>
      <c r="D5" s="13">
        <v>60</v>
      </c>
      <c r="E5" s="10">
        <v>1.0069999999999999</v>
      </c>
      <c r="F5" s="10">
        <v>5.0999999999999997E-2</v>
      </c>
      <c r="G5" s="10">
        <v>12.27</v>
      </c>
      <c r="H5" s="146">
        <f>E5*4+F5*9+G5*4</f>
        <v>53.567</v>
      </c>
      <c r="I5" s="10">
        <v>0.02</v>
      </c>
      <c r="J5" s="10">
        <v>0.02</v>
      </c>
      <c r="K5" s="10">
        <v>2.1</v>
      </c>
      <c r="L5" s="10">
        <v>0</v>
      </c>
      <c r="M5" s="10">
        <v>0.40200000000000002</v>
      </c>
      <c r="N5" s="10">
        <v>23.2</v>
      </c>
      <c r="O5" s="10">
        <v>30.4</v>
      </c>
      <c r="P5" s="10">
        <v>16.100000000000001</v>
      </c>
      <c r="Q5" s="10">
        <v>0.5</v>
      </c>
      <c r="R5" s="10">
        <v>0.1</v>
      </c>
      <c r="S5" s="10">
        <v>0</v>
      </c>
    </row>
    <row r="6" spans="1:20" ht="11.4" customHeight="1" x14ac:dyDescent="0.25">
      <c r="A6" s="34"/>
      <c r="B6" s="36" t="s">
        <v>120</v>
      </c>
      <c r="C6" s="13" t="s">
        <v>119</v>
      </c>
      <c r="D6" s="13">
        <v>200</v>
      </c>
      <c r="E6" s="10">
        <v>1.1000000000000001</v>
      </c>
      <c r="F6" s="10">
        <v>4.79</v>
      </c>
      <c r="G6" s="10">
        <v>4.88</v>
      </c>
      <c r="H6" s="10">
        <f t="shared" ref="H6:H11" si="0">E6*4+F6*9+G6*4</f>
        <v>67.03</v>
      </c>
      <c r="I6" s="10">
        <v>7.0000000000000001E-3</v>
      </c>
      <c r="J6" s="10">
        <v>5.0000000000000001E-3</v>
      </c>
      <c r="K6" s="10">
        <v>1.47</v>
      </c>
      <c r="L6" s="10">
        <v>0</v>
      </c>
      <c r="M6" s="10">
        <v>0.33</v>
      </c>
      <c r="N6" s="10">
        <v>21.3</v>
      </c>
      <c r="O6" s="10">
        <v>12.27</v>
      </c>
      <c r="P6" s="10">
        <v>5.17</v>
      </c>
      <c r="Q6" s="10">
        <v>0.27</v>
      </c>
      <c r="R6" s="10">
        <v>1.57</v>
      </c>
      <c r="S6" s="10">
        <v>5.0000000000000001E-3</v>
      </c>
    </row>
    <row r="7" spans="1:20" s="73" customFormat="1" ht="11.4" customHeight="1" x14ac:dyDescent="0.25">
      <c r="A7" s="10"/>
      <c r="B7" s="28">
        <v>212</v>
      </c>
      <c r="C7" s="152" t="s">
        <v>118</v>
      </c>
      <c r="D7" s="20">
        <v>180</v>
      </c>
      <c r="E7" s="10">
        <v>17.3</v>
      </c>
      <c r="F7" s="10">
        <v>20.7</v>
      </c>
      <c r="G7" s="10">
        <v>2.9</v>
      </c>
      <c r="H7" s="10">
        <f t="shared" si="0"/>
        <v>267.10000000000002</v>
      </c>
      <c r="I7" s="10">
        <v>0.08</v>
      </c>
      <c r="J7" s="10">
        <v>0.52</v>
      </c>
      <c r="K7" s="10">
        <v>4.72</v>
      </c>
      <c r="L7" s="10">
        <v>0.32</v>
      </c>
      <c r="M7" s="10">
        <v>2.9</v>
      </c>
      <c r="N7" s="10">
        <v>125.6</v>
      </c>
      <c r="O7" s="10">
        <v>234.2</v>
      </c>
      <c r="P7" s="10">
        <v>21.37</v>
      </c>
      <c r="Q7" s="10">
        <v>2.85</v>
      </c>
      <c r="R7" s="10">
        <v>1.37</v>
      </c>
      <c r="S7" s="10">
        <v>2.4E-2</v>
      </c>
      <c r="T7" s="31"/>
    </row>
    <row r="8" spans="1:20" s="73" customFormat="1" ht="11.4" customHeight="1" x14ac:dyDescent="0.25">
      <c r="A8" s="10"/>
      <c r="B8" s="36"/>
      <c r="C8" s="13" t="s">
        <v>165</v>
      </c>
      <c r="D8" s="13">
        <v>115</v>
      </c>
      <c r="E8" s="10">
        <f>3*1.15</f>
        <v>3.4499999999999997</v>
      </c>
      <c r="F8" s="10">
        <f>3.2*1.15</f>
        <v>3.6799999999999997</v>
      </c>
      <c r="G8" s="10">
        <f>1.15*4.1</f>
        <v>4.714999999999999</v>
      </c>
      <c r="H8" s="10">
        <f t="shared" si="0"/>
        <v>65.779999999999987</v>
      </c>
      <c r="I8" s="10">
        <v>0.04</v>
      </c>
      <c r="J8" s="10">
        <v>0.2</v>
      </c>
      <c r="K8" s="10">
        <v>0.6</v>
      </c>
      <c r="L8" s="10">
        <v>0.03</v>
      </c>
      <c r="M8" s="10">
        <v>0</v>
      </c>
      <c r="N8" s="10">
        <v>122</v>
      </c>
      <c r="O8" s="10">
        <v>96.5</v>
      </c>
      <c r="P8" s="10">
        <v>14</v>
      </c>
      <c r="Q8" s="10">
        <v>0.1</v>
      </c>
      <c r="R8" s="9">
        <v>0.8</v>
      </c>
      <c r="S8" s="10">
        <v>9</v>
      </c>
      <c r="T8" s="31"/>
    </row>
    <row r="9" spans="1:20" ht="11.4" customHeight="1" x14ac:dyDescent="0.25">
      <c r="B9" s="36">
        <v>360</v>
      </c>
      <c r="C9" s="13" t="s">
        <v>166</v>
      </c>
      <c r="D9" s="13">
        <v>200</v>
      </c>
      <c r="E9" s="9">
        <v>1</v>
      </c>
      <c r="F9" s="9">
        <v>0</v>
      </c>
      <c r="G9" s="9">
        <v>20.200000000000003</v>
      </c>
      <c r="H9" s="10">
        <f t="shared" si="0"/>
        <v>84.800000000000011</v>
      </c>
      <c r="I9" s="9">
        <v>2.2000000000000002E-2</v>
      </c>
      <c r="J9" s="9">
        <v>2.2000000000000002E-2</v>
      </c>
      <c r="K9" s="9">
        <v>4</v>
      </c>
      <c r="L9" s="9">
        <v>0</v>
      </c>
      <c r="M9" s="9">
        <v>0.2</v>
      </c>
      <c r="N9" s="9">
        <v>14</v>
      </c>
      <c r="O9" s="9">
        <v>14</v>
      </c>
      <c r="P9" s="9">
        <v>8</v>
      </c>
      <c r="Q9" s="9">
        <v>2.8000000000000003</v>
      </c>
      <c r="R9" s="9">
        <v>0</v>
      </c>
      <c r="S9" s="10">
        <v>0</v>
      </c>
    </row>
    <row r="10" spans="1:20" ht="11.4" customHeight="1" x14ac:dyDescent="0.25">
      <c r="B10" s="109"/>
      <c r="C10" s="13" t="s">
        <v>57</v>
      </c>
      <c r="D10" s="13">
        <v>40</v>
      </c>
      <c r="E10" s="9">
        <v>2.7</v>
      </c>
      <c r="F10" s="9">
        <v>0.34</v>
      </c>
      <c r="G10" s="9">
        <v>20.059999999999999</v>
      </c>
      <c r="H10" s="10">
        <f t="shared" si="0"/>
        <v>94.1</v>
      </c>
      <c r="I10" s="9">
        <v>0.04</v>
      </c>
      <c r="J10" s="9">
        <v>0.01</v>
      </c>
      <c r="K10" s="9">
        <v>0</v>
      </c>
      <c r="L10" s="9">
        <v>0</v>
      </c>
      <c r="M10" s="9">
        <v>0.44</v>
      </c>
      <c r="N10" s="9">
        <v>8</v>
      </c>
      <c r="O10" s="9">
        <v>26</v>
      </c>
      <c r="P10" s="9">
        <v>5.6</v>
      </c>
      <c r="Q10" s="9">
        <v>0.44</v>
      </c>
      <c r="R10" s="9">
        <v>0</v>
      </c>
      <c r="S10" s="10">
        <v>0</v>
      </c>
    </row>
    <row r="11" spans="1:20" ht="11.4" customHeight="1" x14ac:dyDescent="0.25">
      <c r="B11" s="109"/>
      <c r="C11" s="13" t="s">
        <v>58</v>
      </c>
      <c r="D11" s="13">
        <v>40</v>
      </c>
      <c r="E11" s="9">
        <v>2.66</v>
      </c>
      <c r="F11" s="9">
        <v>0.48</v>
      </c>
      <c r="G11" s="9">
        <v>16.739999999999998</v>
      </c>
      <c r="H11" s="9">
        <f t="shared" si="0"/>
        <v>81.919999999999987</v>
      </c>
      <c r="I11" s="9">
        <v>0.22</v>
      </c>
      <c r="J11" s="9">
        <v>0.14000000000000001</v>
      </c>
      <c r="K11" s="9">
        <v>0.28000000000000003</v>
      </c>
      <c r="L11" s="9">
        <v>0</v>
      </c>
      <c r="M11" s="9">
        <v>0.22</v>
      </c>
      <c r="N11" s="9">
        <v>51.1</v>
      </c>
      <c r="O11" s="9">
        <v>87.5</v>
      </c>
      <c r="P11" s="9">
        <v>28</v>
      </c>
      <c r="Q11" s="9">
        <v>1.96</v>
      </c>
      <c r="R11" s="9">
        <v>0</v>
      </c>
      <c r="S11" s="10">
        <v>0</v>
      </c>
    </row>
    <row r="12" spans="1:20" ht="11.4" customHeight="1" x14ac:dyDescent="0.25">
      <c r="B12" s="36"/>
      <c r="C12" s="11"/>
      <c r="D12" s="1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20" ht="11.4" customHeight="1" x14ac:dyDescent="0.25">
      <c r="B13" s="15"/>
      <c r="C13" s="16" t="s">
        <v>19</v>
      </c>
      <c r="D13" s="17">
        <f>SUM(D5:D12)</f>
        <v>835</v>
      </c>
      <c r="E13" s="117">
        <f t="shared" ref="E13:S13" si="1">SUM(E5:E12)</f>
        <v>29.216999999999999</v>
      </c>
      <c r="F13" s="117">
        <f t="shared" si="1"/>
        <v>30.041</v>
      </c>
      <c r="G13" s="117">
        <f t="shared" si="1"/>
        <v>81.765000000000001</v>
      </c>
      <c r="H13" s="117">
        <f t="shared" si="1"/>
        <v>714.29700000000003</v>
      </c>
      <c r="I13" s="117">
        <f t="shared" si="1"/>
        <v>0.42899999999999999</v>
      </c>
      <c r="J13" s="117">
        <f t="shared" si="1"/>
        <v>0.91700000000000015</v>
      </c>
      <c r="K13" s="117">
        <f t="shared" si="1"/>
        <v>13.169999999999998</v>
      </c>
      <c r="L13" s="117">
        <f t="shared" si="1"/>
        <v>0.35</v>
      </c>
      <c r="M13" s="117">
        <f t="shared" si="1"/>
        <v>4.492</v>
      </c>
      <c r="N13" s="117">
        <f t="shared" si="1"/>
        <v>365.20000000000005</v>
      </c>
      <c r="O13" s="117">
        <f t="shared" si="1"/>
        <v>500.87</v>
      </c>
      <c r="P13" s="117">
        <f t="shared" si="1"/>
        <v>98.24</v>
      </c>
      <c r="Q13" s="117">
        <f t="shared" si="1"/>
        <v>8.9200000000000017</v>
      </c>
      <c r="R13" s="117">
        <f t="shared" si="1"/>
        <v>3.84</v>
      </c>
      <c r="S13" s="117">
        <f t="shared" si="1"/>
        <v>9.0289999999999999</v>
      </c>
    </row>
    <row r="14" spans="1:20" s="74" customFormat="1" ht="11.4" customHeight="1" x14ac:dyDescent="0.25">
      <c r="A14" s="10"/>
      <c r="B14" s="22"/>
      <c r="C14" s="27"/>
      <c r="D14" s="13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26"/>
    </row>
    <row r="15" spans="1:20" ht="11.4" customHeight="1" x14ac:dyDescent="0.25">
      <c r="B15" s="161" t="s">
        <v>136</v>
      </c>
      <c r="C15" s="162"/>
      <c r="D15" s="3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</row>
    <row r="16" spans="1:20" ht="11.4" customHeight="1" x14ac:dyDescent="0.25">
      <c r="B16" s="36">
        <v>70</v>
      </c>
      <c r="C16" s="13" t="s">
        <v>134</v>
      </c>
      <c r="D16" s="13">
        <v>60</v>
      </c>
      <c r="E16" s="10">
        <v>0.56000000000000005</v>
      </c>
      <c r="F16" s="10">
        <v>0.05</v>
      </c>
      <c r="G16" s="10">
        <v>1.75</v>
      </c>
      <c r="H16" s="10">
        <f>E16*4+F16*9+G16*4</f>
        <v>9.6900000000000013</v>
      </c>
      <c r="I16" s="10">
        <v>0.01</v>
      </c>
      <c r="J16" s="10">
        <v>0.01</v>
      </c>
      <c r="K16" s="10">
        <v>5.25</v>
      </c>
      <c r="L16" s="10">
        <v>0</v>
      </c>
      <c r="M16" s="10">
        <v>0.35</v>
      </c>
      <c r="N16" s="10">
        <v>5</v>
      </c>
      <c r="O16" s="10">
        <v>17.5</v>
      </c>
      <c r="P16" s="10">
        <v>7.5</v>
      </c>
      <c r="Q16" s="10">
        <v>0.4</v>
      </c>
      <c r="R16" s="10">
        <v>7.0000000000000007E-2</v>
      </c>
      <c r="S16" s="10">
        <v>0</v>
      </c>
    </row>
    <row r="17" spans="1:20" ht="11.4" customHeight="1" x14ac:dyDescent="0.25">
      <c r="B17" s="36">
        <v>87</v>
      </c>
      <c r="C17" s="13" t="s">
        <v>167</v>
      </c>
      <c r="D17" s="13">
        <v>200</v>
      </c>
      <c r="E17" s="10">
        <v>1.1399999999999999</v>
      </c>
      <c r="F17" s="10">
        <v>3.91</v>
      </c>
      <c r="G17" s="10">
        <v>9.27</v>
      </c>
      <c r="H17" s="10">
        <f t="shared" ref="H17:H23" si="2">E17*4+F17*9+G17*4</f>
        <v>76.83</v>
      </c>
      <c r="I17" s="10">
        <v>4.7E-2</v>
      </c>
      <c r="J17" s="10">
        <v>3.2000000000000001E-2</v>
      </c>
      <c r="K17" s="10">
        <v>11.07</v>
      </c>
      <c r="L17" s="10">
        <v>0</v>
      </c>
      <c r="M17" s="10">
        <v>0.05</v>
      </c>
      <c r="N17" s="10">
        <v>47.3</v>
      </c>
      <c r="O17" s="10">
        <v>44.27</v>
      </c>
      <c r="P17" s="10">
        <v>20.399999999999999</v>
      </c>
      <c r="Q17" s="10">
        <v>0.77500000000000002</v>
      </c>
      <c r="R17" s="10">
        <v>0.05</v>
      </c>
      <c r="S17" s="10">
        <v>2.9999999999999997E-4</v>
      </c>
    </row>
    <row r="18" spans="1:20" ht="11.4" customHeight="1" x14ac:dyDescent="0.25">
      <c r="B18" s="18" t="s">
        <v>168</v>
      </c>
      <c r="C18" s="13" t="s">
        <v>126</v>
      </c>
      <c r="D18" s="13">
        <v>80</v>
      </c>
      <c r="E18" s="10">
        <v>14</v>
      </c>
      <c r="F18" s="10">
        <v>16.7</v>
      </c>
      <c r="G18" s="10">
        <v>3.9</v>
      </c>
      <c r="H18" s="146">
        <f t="shared" si="2"/>
        <v>221.89999999999998</v>
      </c>
      <c r="I18" s="10">
        <v>0.09</v>
      </c>
      <c r="J18" s="10">
        <v>0.2</v>
      </c>
      <c r="K18" s="10">
        <v>6.3</v>
      </c>
      <c r="L18" s="10">
        <v>0</v>
      </c>
      <c r="M18" s="10">
        <v>1</v>
      </c>
      <c r="N18" s="10">
        <v>34.5</v>
      </c>
      <c r="O18" s="10">
        <v>288.3</v>
      </c>
      <c r="P18" s="10">
        <v>38.4</v>
      </c>
      <c r="Q18" s="10">
        <v>3.9</v>
      </c>
      <c r="R18" s="10">
        <v>4.4800000000000004</v>
      </c>
      <c r="S18" s="10">
        <v>0.01</v>
      </c>
    </row>
    <row r="19" spans="1:20" s="75" customFormat="1" ht="11.4" customHeight="1" x14ac:dyDescent="0.25">
      <c r="A19" s="10"/>
      <c r="B19" s="18"/>
      <c r="C19" s="13" t="s">
        <v>177</v>
      </c>
      <c r="D19" s="13">
        <v>150</v>
      </c>
      <c r="E19" s="10">
        <f>1.5*2.66</f>
        <v>3.99</v>
      </c>
      <c r="F19" s="10">
        <f>1.5*2.8</f>
        <v>4.1999999999999993</v>
      </c>
      <c r="G19" s="10">
        <v>36.369999999999997</v>
      </c>
      <c r="H19" s="146">
        <f t="shared" si="2"/>
        <v>199.23999999999998</v>
      </c>
      <c r="I19" s="10">
        <v>5.3999999999999999E-2</v>
      </c>
      <c r="J19" s="10">
        <v>2.3E-2</v>
      </c>
      <c r="K19" s="10">
        <v>0</v>
      </c>
      <c r="L19" s="10">
        <v>0</v>
      </c>
      <c r="M19" s="10">
        <v>1.8</v>
      </c>
      <c r="N19" s="10">
        <v>10.4</v>
      </c>
      <c r="O19" s="10">
        <v>67.3</v>
      </c>
      <c r="P19" s="10">
        <v>14.4</v>
      </c>
      <c r="Q19" s="10">
        <v>1.1299999999999999</v>
      </c>
      <c r="R19" s="10">
        <v>0</v>
      </c>
      <c r="S19" s="10">
        <v>0</v>
      </c>
      <c r="T19" s="31"/>
    </row>
    <row r="20" spans="1:20" ht="11.4" customHeight="1" x14ac:dyDescent="0.25">
      <c r="B20" s="36">
        <v>338</v>
      </c>
      <c r="C20" s="13" t="s">
        <v>109</v>
      </c>
      <c r="D20" s="13">
        <v>180</v>
      </c>
      <c r="E20" s="10">
        <v>1.6</v>
      </c>
      <c r="F20" s="10">
        <v>0.2</v>
      </c>
      <c r="G20" s="10">
        <v>17.100000000000001</v>
      </c>
      <c r="H20" s="10">
        <f t="shared" si="2"/>
        <v>76.600000000000009</v>
      </c>
      <c r="I20" s="10">
        <v>7.0000000000000007E-2</v>
      </c>
      <c r="J20" s="10">
        <v>0.14000000000000001</v>
      </c>
      <c r="K20" s="10">
        <v>18</v>
      </c>
      <c r="L20" s="10">
        <v>0.14000000000000001</v>
      </c>
      <c r="M20" s="10">
        <v>1.98</v>
      </c>
      <c r="N20" s="10">
        <v>36</v>
      </c>
      <c r="O20" s="10">
        <v>61.2</v>
      </c>
      <c r="P20" s="10">
        <v>28.8</v>
      </c>
      <c r="Q20" s="10">
        <v>1.08</v>
      </c>
      <c r="R20" s="10">
        <v>0.18</v>
      </c>
      <c r="S20" s="10">
        <v>3.0000000000000001E-3</v>
      </c>
    </row>
    <row r="21" spans="1:20" ht="11.4" customHeight="1" x14ac:dyDescent="0.25">
      <c r="B21" s="36">
        <v>360</v>
      </c>
      <c r="C21" s="13" t="s">
        <v>166</v>
      </c>
      <c r="D21" s="13">
        <v>200</v>
      </c>
      <c r="E21" s="9">
        <v>1</v>
      </c>
      <c r="F21" s="9">
        <v>0</v>
      </c>
      <c r="G21" s="9">
        <v>20.200000000000003</v>
      </c>
      <c r="H21" s="10">
        <f t="shared" si="2"/>
        <v>84.800000000000011</v>
      </c>
      <c r="I21" s="9">
        <v>2.2000000000000002E-2</v>
      </c>
      <c r="J21" s="9">
        <v>2.2000000000000002E-2</v>
      </c>
      <c r="K21" s="9">
        <v>4</v>
      </c>
      <c r="L21" s="9">
        <v>0</v>
      </c>
      <c r="M21" s="9">
        <v>0.2</v>
      </c>
      <c r="N21" s="9">
        <v>14</v>
      </c>
      <c r="O21" s="9">
        <v>14</v>
      </c>
      <c r="P21" s="9">
        <v>8</v>
      </c>
      <c r="Q21" s="9">
        <v>2.8000000000000003</v>
      </c>
      <c r="R21" s="9">
        <v>0</v>
      </c>
      <c r="S21" s="10">
        <v>0</v>
      </c>
    </row>
    <row r="22" spans="1:20" ht="11.4" customHeight="1" x14ac:dyDescent="0.25">
      <c r="B22" s="18"/>
      <c r="C22" s="13" t="s">
        <v>57</v>
      </c>
      <c r="D22" s="13">
        <v>40</v>
      </c>
      <c r="E22" s="9">
        <v>2.7</v>
      </c>
      <c r="F22" s="9">
        <v>0.34</v>
      </c>
      <c r="G22" s="9">
        <v>20.059999999999999</v>
      </c>
      <c r="H22" s="10">
        <f t="shared" si="2"/>
        <v>94.1</v>
      </c>
      <c r="I22" s="9">
        <v>0.04</v>
      </c>
      <c r="J22" s="9">
        <v>0.01</v>
      </c>
      <c r="K22" s="9">
        <v>0</v>
      </c>
      <c r="L22" s="9">
        <v>0</v>
      </c>
      <c r="M22" s="9">
        <v>0.44</v>
      </c>
      <c r="N22" s="9">
        <v>8</v>
      </c>
      <c r="O22" s="9">
        <v>26</v>
      </c>
      <c r="P22" s="9">
        <v>5.6</v>
      </c>
      <c r="Q22" s="9">
        <v>0.44</v>
      </c>
      <c r="R22" s="9">
        <v>0</v>
      </c>
      <c r="S22" s="10">
        <v>0</v>
      </c>
    </row>
    <row r="23" spans="1:20" ht="11.4" customHeight="1" x14ac:dyDescent="0.25">
      <c r="B23" s="18"/>
      <c r="C23" s="13" t="s">
        <v>58</v>
      </c>
      <c r="D23" s="147">
        <v>20</v>
      </c>
      <c r="E23" s="146">
        <v>1.33</v>
      </c>
      <c r="F23" s="146">
        <v>0.24</v>
      </c>
      <c r="G23" s="146">
        <v>8.3699999999999992</v>
      </c>
      <c r="H23" s="10">
        <f t="shared" si="2"/>
        <v>40.959999999999994</v>
      </c>
      <c r="I23" s="146">
        <v>0.11</v>
      </c>
      <c r="J23" s="146">
        <v>7.0000000000000007E-2</v>
      </c>
      <c r="K23" s="146">
        <v>0.14000000000000001</v>
      </c>
      <c r="L23" s="146">
        <v>0</v>
      </c>
      <c r="M23" s="146">
        <v>0.11</v>
      </c>
      <c r="N23" s="146">
        <v>25.55</v>
      </c>
      <c r="O23" s="146">
        <v>43.75</v>
      </c>
      <c r="P23" s="146">
        <v>14</v>
      </c>
      <c r="Q23" s="146">
        <v>0.98</v>
      </c>
      <c r="R23" s="146">
        <v>0</v>
      </c>
      <c r="S23" s="10">
        <v>0</v>
      </c>
    </row>
    <row r="24" spans="1:20" ht="11.4" customHeight="1" x14ac:dyDescent="0.25">
      <c r="B24" s="36"/>
      <c r="C24" s="11"/>
      <c r="D24" s="1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20" ht="11.4" customHeight="1" x14ac:dyDescent="0.25">
      <c r="B25" s="15"/>
      <c r="C25" s="19" t="s">
        <v>19</v>
      </c>
      <c r="D25" s="17">
        <f>SUM(D16:D24)</f>
        <v>930</v>
      </c>
      <c r="E25" s="117">
        <f t="shared" ref="E25:S25" si="3">SUM(E16:E24)</f>
        <v>26.32</v>
      </c>
      <c r="F25" s="117">
        <f t="shared" si="3"/>
        <v>25.639999999999997</v>
      </c>
      <c r="G25" s="117">
        <f t="shared" si="3"/>
        <v>117.02000000000001</v>
      </c>
      <c r="H25" s="117">
        <f t="shared" si="3"/>
        <v>804.12</v>
      </c>
      <c r="I25" s="117">
        <f t="shared" si="3"/>
        <v>0.443</v>
      </c>
      <c r="J25" s="117">
        <f t="shared" si="3"/>
        <v>0.50700000000000012</v>
      </c>
      <c r="K25" s="117">
        <f t="shared" si="3"/>
        <v>44.760000000000005</v>
      </c>
      <c r="L25" s="117">
        <f t="shared" si="3"/>
        <v>0.14000000000000001</v>
      </c>
      <c r="M25" s="117">
        <f t="shared" si="3"/>
        <v>5.9300000000000006</v>
      </c>
      <c r="N25" s="117">
        <f t="shared" si="3"/>
        <v>180.75</v>
      </c>
      <c r="O25" s="117">
        <f t="shared" si="3"/>
        <v>562.31999999999994</v>
      </c>
      <c r="P25" s="117">
        <f t="shared" si="3"/>
        <v>137.1</v>
      </c>
      <c r="Q25" s="117">
        <f t="shared" si="3"/>
        <v>11.505000000000001</v>
      </c>
      <c r="R25" s="117">
        <f t="shared" si="3"/>
        <v>4.78</v>
      </c>
      <c r="S25" s="117">
        <f t="shared" si="3"/>
        <v>1.3299999999999999E-2</v>
      </c>
    </row>
    <row r="26" spans="1:20" ht="11.4" customHeight="1" x14ac:dyDescent="0.25">
      <c r="B26" s="18"/>
      <c r="C26" s="13"/>
      <c r="D26" s="1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20" ht="11.4" customHeight="1" x14ac:dyDescent="0.25">
      <c r="B27" s="161" t="s">
        <v>137</v>
      </c>
      <c r="C27" s="162"/>
      <c r="D27" s="3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</row>
    <row r="28" spans="1:20" ht="11.4" customHeight="1" x14ac:dyDescent="0.25">
      <c r="B28" s="18">
        <v>131</v>
      </c>
      <c r="C28" s="13" t="s">
        <v>105</v>
      </c>
      <c r="D28" s="20">
        <v>60</v>
      </c>
      <c r="E28" s="10">
        <v>3.4</v>
      </c>
      <c r="F28" s="10">
        <v>0.4</v>
      </c>
      <c r="G28" s="10">
        <v>7.7</v>
      </c>
      <c r="H28" s="10">
        <f>E28*4+F28*9+G28*4</f>
        <v>48</v>
      </c>
      <c r="I28" s="10">
        <v>7.0000000000000007E-2</v>
      </c>
      <c r="J28" s="10">
        <v>0.02</v>
      </c>
      <c r="K28" s="10">
        <v>0</v>
      </c>
      <c r="L28" s="10">
        <v>0</v>
      </c>
      <c r="M28" s="10">
        <v>0.12</v>
      </c>
      <c r="N28" s="10">
        <v>21.3</v>
      </c>
      <c r="O28" s="10">
        <v>56.2</v>
      </c>
      <c r="P28" s="10">
        <v>18.399999999999999</v>
      </c>
      <c r="Q28" s="10">
        <v>1.1399999999999999</v>
      </c>
      <c r="R28" s="10">
        <v>0.54</v>
      </c>
      <c r="S28" s="10">
        <v>0</v>
      </c>
    </row>
    <row r="29" spans="1:20" ht="11.4" customHeight="1" x14ac:dyDescent="0.25">
      <c r="B29" s="18" t="s">
        <v>121</v>
      </c>
      <c r="C29" s="13" t="s">
        <v>161</v>
      </c>
      <c r="D29" s="13">
        <v>200</v>
      </c>
      <c r="E29" s="10">
        <v>2</v>
      </c>
      <c r="F29" s="10">
        <v>6.5</v>
      </c>
      <c r="G29" s="10">
        <v>13.44</v>
      </c>
      <c r="H29" s="10">
        <f t="shared" ref="H29:H32" si="4">E29*4+F29*9+G29*4</f>
        <v>120.25999999999999</v>
      </c>
      <c r="I29" s="10">
        <v>7.0000000000000007E-2</v>
      </c>
      <c r="J29" s="10">
        <v>0.05</v>
      </c>
      <c r="K29" s="10">
        <v>9.1</v>
      </c>
      <c r="L29" s="10">
        <v>0</v>
      </c>
      <c r="M29" s="10">
        <v>0.25</v>
      </c>
      <c r="N29" s="10">
        <v>41.9</v>
      </c>
      <c r="O29" s="10">
        <v>65.8</v>
      </c>
      <c r="P29" s="10">
        <v>29.8</v>
      </c>
      <c r="Q29" s="10">
        <v>1.3</v>
      </c>
      <c r="R29" s="10">
        <v>0.76</v>
      </c>
      <c r="S29" s="10">
        <v>8.0000000000000002E-3</v>
      </c>
    </row>
    <row r="30" spans="1:20" ht="11.4" customHeight="1" x14ac:dyDescent="0.25">
      <c r="B30" s="36" t="s">
        <v>124</v>
      </c>
      <c r="C30" s="13" t="s">
        <v>125</v>
      </c>
      <c r="D30" s="13">
        <v>80</v>
      </c>
      <c r="E30" s="10">
        <v>8.06</v>
      </c>
      <c r="F30" s="10">
        <v>5.63</v>
      </c>
      <c r="G30" s="10">
        <v>6.02</v>
      </c>
      <c r="H30" s="10">
        <f t="shared" si="4"/>
        <v>106.99</v>
      </c>
      <c r="I30" s="10">
        <v>3.7999999999999999E-2</v>
      </c>
      <c r="J30" s="10">
        <v>4.4999999999999998E-2</v>
      </c>
      <c r="K30" s="10">
        <v>2.39</v>
      </c>
      <c r="L30" s="10">
        <v>0.17499999999999999</v>
      </c>
      <c r="M30" s="10">
        <v>0.35199999999999998</v>
      </c>
      <c r="N30" s="10">
        <v>42.24</v>
      </c>
      <c r="O30" s="10">
        <v>120.36</v>
      </c>
      <c r="P30" s="10">
        <v>18.420000000000002</v>
      </c>
      <c r="Q30" s="10">
        <v>1.59</v>
      </c>
      <c r="R30" s="10">
        <v>0.63</v>
      </c>
      <c r="S30" s="10">
        <v>2.5000000000000001E-2</v>
      </c>
    </row>
    <row r="31" spans="1:20" s="73" customFormat="1" ht="11.4" customHeight="1" x14ac:dyDescent="0.25">
      <c r="A31" s="10"/>
      <c r="B31" s="36">
        <v>125</v>
      </c>
      <c r="C31" s="54" t="s">
        <v>159</v>
      </c>
      <c r="D31" s="54">
        <v>150</v>
      </c>
      <c r="E31" s="10">
        <f>2.02*1.45</f>
        <v>2.9289999999999998</v>
      </c>
      <c r="F31" s="10">
        <v>5.0599999999999996</v>
      </c>
      <c r="G31" s="10">
        <f>11.99*1.45</f>
        <v>17.3855</v>
      </c>
      <c r="H31" s="10">
        <f t="shared" si="4"/>
        <v>126.798</v>
      </c>
      <c r="I31" s="10">
        <v>0.11</v>
      </c>
      <c r="J31" s="10">
        <v>7.0000000000000007E-2</v>
      </c>
      <c r="K31" s="10">
        <v>14.42</v>
      </c>
      <c r="L31" s="10">
        <v>2</v>
      </c>
      <c r="M31" s="10">
        <v>0.01</v>
      </c>
      <c r="N31" s="10">
        <v>13.66</v>
      </c>
      <c r="O31" s="10">
        <v>55.79</v>
      </c>
      <c r="P31" s="10">
        <v>20.32</v>
      </c>
      <c r="Q31" s="10">
        <v>0.82</v>
      </c>
      <c r="R31" s="10">
        <v>0.28000000000000003</v>
      </c>
      <c r="S31" s="10">
        <v>4.0000000000000001E-3</v>
      </c>
      <c r="T31" s="31"/>
    </row>
    <row r="32" spans="1:20" ht="11.4" customHeight="1" x14ac:dyDescent="0.25">
      <c r="B32" s="36" t="s">
        <v>141</v>
      </c>
      <c r="C32" s="13" t="s">
        <v>142</v>
      </c>
      <c r="D32" s="13">
        <v>80</v>
      </c>
      <c r="E32" s="10">
        <v>5.2</v>
      </c>
      <c r="F32" s="10">
        <v>1.92</v>
      </c>
      <c r="G32" s="10">
        <v>54.91</v>
      </c>
      <c r="H32" s="10">
        <f t="shared" si="4"/>
        <v>257.71999999999997</v>
      </c>
      <c r="I32" s="10">
        <v>0.09</v>
      </c>
      <c r="J32" s="10">
        <v>0.04</v>
      </c>
      <c r="K32" s="10">
        <v>0</v>
      </c>
      <c r="L32" s="10">
        <v>0</v>
      </c>
      <c r="M32" s="10">
        <v>1.2</v>
      </c>
      <c r="N32" s="10">
        <v>13.5</v>
      </c>
      <c r="O32" s="10">
        <v>46.1</v>
      </c>
      <c r="P32" s="10">
        <v>19.399999999999999</v>
      </c>
      <c r="Q32" s="10">
        <v>0.88</v>
      </c>
      <c r="R32" s="10">
        <v>0.3</v>
      </c>
      <c r="S32" s="10">
        <v>1E-3</v>
      </c>
    </row>
    <row r="33" spans="1:20" ht="11.4" customHeight="1" x14ac:dyDescent="0.25">
      <c r="B33" s="33"/>
      <c r="C33" s="148" t="s">
        <v>140</v>
      </c>
      <c r="D33" s="13">
        <v>200</v>
      </c>
      <c r="E33" s="10">
        <v>5.8</v>
      </c>
      <c r="F33" s="10">
        <v>5</v>
      </c>
      <c r="G33" s="10">
        <v>9.6</v>
      </c>
      <c r="H33" s="10">
        <v>107</v>
      </c>
      <c r="I33" s="10">
        <v>0.08</v>
      </c>
      <c r="J33" s="10">
        <v>0.3</v>
      </c>
      <c r="K33" s="10">
        <v>2.6</v>
      </c>
      <c r="L33" s="10">
        <v>0.4</v>
      </c>
      <c r="M33" s="10">
        <v>0</v>
      </c>
      <c r="N33" s="10">
        <v>240</v>
      </c>
      <c r="O33" s="10">
        <v>180</v>
      </c>
      <c r="P33" s="10">
        <v>28</v>
      </c>
      <c r="Q33" s="10">
        <v>0.2</v>
      </c>
      <c r="R33" s="10">
        <v>0</v>
      </c>
      <c r="S33" s="10">
        <v>0</v>
      </c>
    </row>
    <row r="34" spans="1:20" ht="11.4" customHeight="1" x14ac:dyDescent="0.25">
      <c r="B34" s="36"/>
      <c r="C34" s="13" t="s">
        <v>57</v>
      </c>
      <c r="D34" s="13">
        <v>40</v>
      </c>
      <c r="E34" s="9">
        <v>2.7</v>
      </c>
      <c r="F34" s="9">
        <v>0.34</v>
      </c>
      <c r="G34" s="9">
        <v>20.059999999999999</v>
      </c>
      <c r="H34" s="10">
        <f t="shared" ref="H34:H35" si="5">E34*4+F34*9+G34*4</f>
        <v>94.1</v>
      </c>
      <c r="I34" s="9">
        <v>0.04</v>
      </c>
      <c r="J34" s="9">
        <v>0.01</v>
      </c>
      <c r="K34" s="9">
        <v>0</v>
      </c>
      <c r="L34" s="9">
        <v>0</v>
      </c>
      <c r="M34" s="9">
        <v>0.44</v>
      </c>
      <c r="N34" s="9">
        <v>8</v>
      </c>
      <c r="O34" s="9">
        <v>26</v>
      </c>
      <c r="P34" s="9">
        <v>5.6</v>
      </c>
      <c r="Q34" s="9">
        <v>0.44</v>
      </c>
      <c r="R34" s="9">
        <v>0</v>
      </c>
      <c r="S34" s="10">
        <v>0</v>
      </c>
    </row>
    <row r="35" spans="1:20" s="74" customFormat="1" ht="11.4" customHeight="1" x14ac:dyDescent="0.25">
      <c r="A35" s="10"/>
      <c r="B35" s="36"/>
      <c r="C35" s="13" t="s">
        <v>58</v>
      </c>
      <c r="D35" s="13">
        <v>20</v>
      </c>
      <c r="E35" s="146">
        <v>1.33</v>
      </c>
      <c r="F35" s="146">
        <v>0.24</v>
      </c>
      <c r="G35" s="146">
        <v>8.3699999999999992</v>
      </c>
      <c r="H35" s="10">
        <f t="shared" si="5"/>
        <v>40.959999999999994</v>
      </c>
      <c r="I35" s="146">
        <v>0.11</v>
      </c>
      <c r="J35" s="146">
        <v>7.0000000000000007E-2</v>
      </c>
      <c r="K35" s="146">
        <v>0.14000000000000001</v>
      </c>
      <c r="L35" s="146">
        <v>0</v>
      </c>
      <c r="M35" s="146">
        <v>0.11</v>
      </c>
      <c r="N35" s="146">
        <v>25.55</v>
      </c>
      <c r="O35" s="146">
        <v>43.75</v>
      </c>
      <c r="P35" s="146">
        <v>14</v>
      </c>
      <c r="Q35" s="146">
        <v>0.98</v>
      </c>
      <c r="R35" s="146">
        <v>0</v>
      </c>
      <c r="S35" s="10">
        <v>0</v>
      </c>
      <c r="T35" s="31"/>
    </row>
    <row r="36" spans="1:20" ht="11.4" customHeight="1" x14ac:dyDescent="0.25">
      <c r="B36" s="36"/>
      <c r="C36" s="13"/>
      <c r="D36" s="1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20" s="75" customFormat="1" ht="11.4" customHeight="1" x14ac:dyDescent="0.25">
      <c r="A37" s="10"/>
      <c r="B37" s="21"/>
      <c r="C37" s="16" t="s">
        <v>19</v>
      </c>
      <c r="D37" s="17">
        <f t="shared" ref="D37:S37" si="6">SUM(D28:D36)</f>
        <v>830</v>
      </c>
      <c r="E37" s="117">
        <f t="shared" si="6"/>
        <v>31.418999999999997</v>
      </c>
      <c r="F37" s="117">
        <f t="shared" si="6"/>
        <v>25.089999999999996</v>
      </c>
      <c r="G37" s="117">
        <f t="shared" si="6"/>
        <v>137.4855</v>
      </c>
      <c r="H37" s="117">
        <f t="shared" si="6"/>
        <v>901.82800000000009</v>
      </c>
      <c r="I37" s="117">
        <f t="shared" si="6"/>
        <v>0.60799999999999998</v>
      </c>
      <c r="J37" s="117">
        <f t="shared" si="6"/>
        <v>0.60499999999999998</v>
      </c>
      <c r="K37" s="117">
        <f t="shared" si="6"/>
        <v>28.650000000000002</v>
      </c>
      <c r="L37" s="117">
        <f t="shared" si="6"/>
        <v>2.5749999999999997</v>
      </c>
      <c r="M37" s="117">
        <f t="shared" si="6"/>
        <v>2.4819999999999998</v>
      </c>
      <c r="N37" s="117">
        <f t="shared" si="6"/>
        <v>406.15000000000003</v>
      </c>
      <c r="O37" s="117">
        <f t="shared" si="6"/>
        <v>594</v>
      </c>
      <c r="P37" s="117">
        <f t="shared" si="6"/>
        <v>153.94</v>
      </c>
      <c r="Q37" s="117">
        <f t="shared" si="6"/>
        <v>7.3500000000000014</v>
      </c>
      <c r="R37" s="117">
        <f t="shared" si="6"/>
        <v>2.5099999999999998</v>
      </c>
      <c r="S37" s="117">
        <f t="shared" si="6"/>
        <v>3.8000000000000006E-2</v>
      </c>
      <c r="T37" s="31"/>
    </row>
    <row r="38" spans="1:20" ht="11.4" customHeight="1" x14ac:dyDescent="0.25">
      <c r="B38" s="22"/>
      <c r="C38" s="23"/>
      <c r="D38" s="1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20" ht="11.4" customHeight="1" x14ac:dyDescent="0.25">
      <c r="B39" s="163" t="s">
        <v>138</v>
      </c>
      <c r="C39" s="164"/>
      <c r="D39" s="3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</row>
    <row r="40" spans="1:20" ht="11.4" customHeight="1" x14ac:dyDescent="0.25">
      <c r="B40" s="33">
        <v>47</v>
      </c>
      <c r="C40" s="148" t="s">
        <v>102</v>
      </c>
      <c r="D40" s="147">
        <v>60</v>
      </c>
      <c r="E40" s="146">
        <v>0.85</v>
      </c>
      <c r="F40" s="146">
        <v>2.5</v>
      </c>
      <c r="G40" s="146">
        <v>4.2</v>
      </c>
      <c r="H40" s="146">
        <f>E40*4+F40*9+G40*4</f>
        <v>42.7</v>
      </c>
      <c r="I40" s="146">
        <v>1.0999999999999999E-2</v>
      </c>
      <c r="J40" s="146">
        <v>0.01</v>
      </c>
      <c r="K40" s="146">
        <v>9.9</v>
      </c>
      <c r="L40" s="146">
        <v>0</v>
      </c>
      <c r="M40" s="146">
        <v>0.65</v>
      </c>
      <c r="N40" s="146">
        <v>26.1</v>
      </c>
      <c r="O40" s="146">
        <v>16.899999999999999</v>
      </c>
      <c r="P40" s="146">
        <v>8</v>
      </c>
      <c r="Q40" s="146">
        <v>0.33</v>
      </c>
      <c r="R40" s="146">
        <v>0</v>
      </c>
      <c r="S40" s="146">
        <v>0</v>
      </c>
    </row>
    <row r="41" spans="1:20" ht="11.4" customHeight="1" x14ac:dyDescent="0.25">
      <c r="B41" s="109" t="s">
        <v>114</v>
      </c>
      <c r="C41" s="20" t="s">
        <v>113</v>
      </c>
      <c r="D41" s="147">
        <v>200</v>
      </c>
      <c r="E41" s="10">
        <v>2.02</v>
      </c>
      <c r="F41" s="10">
        <v>5.09</v>
      </c>
      <c r="G41" s="10">
        <v>11.98</v>
      </c>
      <c r="H41" s="146">
        <f>E41*4+F41*9+G41*4</f>
        <v>101.81</v>
      </c>
      <c r="I41" s="10">
        <v>0.09</v>
      </c>
      <c r="J41" s="10">
        <v>0.06</v>
      </c>
      <c r="K41" s="10">
        <v>8.3800000000000008</v>
      </c>
      <c r="L41" s="10">
        <v>0</v>
      </c>
      <c r="M41" s="10">
        <v>0.15</v>
      </c>
      <c r="N41" s="10">
        <v>29.15</v>
      </c>
      <c r="O41" s="10">
        <v>56.73</v>
      </c>
      <c r="P41" s="10">
        <v>24.18</v>
      </c>
      <c r="Q41" s="10">
        <v>0.93</v>
      </c>
      <c r="R41" s="10">
        <v>0.47</v>
      </c>
      <c r="S41" s="10">
        <v>5.25</v>
      </c>
    </row>
    <row r="42" spans="1:20" ht="11.4" customHeight="1" x14ac:dyDescent="0.25">
      <c r="B42" s="118" t="s">
        <v>169</v>
      </c>
      <c r="C42" s="20" t="s">
        <v>170</v>
      </c>
      <c r="D42" s="13">
        <v>180</v>
      </c>
      <c r="E42" s="10">
        <v>19.899999999999999</v>
      </c>
      <c r="F42" s="10">
        <v>20.52</v>
      </c>
      <c r="G42" s="10">
        <v>31.6</v>
      </c>
      <c r="H42" s="10">
        <f>E42*4+F42*9+G42*4</f>
        <v>390.67999999999995</v>
      </c>
      <c r="I42" s="10">
        <v>0.1</v>
      </c>
      <c r="J42" s="10">
        <v>0.14000000000000001</v>
      </c>
      <c r="K42" s="10">
        <v>1.7</v>
      </c>
      <c r="L42" s="10">
        <v>0</v>
      </c>
      <c r="M42" s="10">
        <v>0.3</v>
      </c>
      <c r="N42" s="10">
        <v>18.899999999999999</v>
      </c>
      <c r="O42" s="10">
        <v>266.8</v>
      </c>
      <c r="P42" s="10">
        <v>52.3</v>
      </c>
      <c r="Q42" s="10">
        <v>3.53</v>
      </c>
      <c r="R42" s="10">
        <v>3.5</v>
      </c>
      <c r="S42" s="10">
        <v>7.9000000000000008E-3</v>
      </c>
    </row>
    <row r="43" spans="1:20" ht="11.4" customHeight="1" x14ac:dyDescent="0.25">
      <c r="B43" s="36">
        <v>338</v>
      </c>
      <c r="C43" s="13" t="s">
        <v>109</v>
      </c>
      <c r="D43" s="13">
        <v>150</v>
      </c>
      <c r="E43" s="146">
        <v>1.35</v>
      </c>
      <c r="F43" s="146">
        <v>0.15</v>
      </c>
      <c r="G43" s="146">
        <v>13.5</v>
      </c>
      <c r="H43" s="146">
        <f>E43*4+F43*9+G43*4</f>
        <v>60.75</v>
      </c>
      <c r="I43" s="146">
        <v>4.4999999999999998E-2</v>
      </c>
      <c r="J43" s="146">
        <v>0.09</v>
      </c>
      <c r="K43" s="146">
        <v>15</v>
      </c>
      <c r="L43" s="146">
        <v>0</v>
      </c>
      <c r="M43" s="146">
        <v>1.65</v>
      </c>
      <c r="N43" s="146">
        <v>42</v>
      </c>
      <c r="O43" s="146">
        <v>39</v>
      </c>
      <c r="P43" s="146">
        <v>12</v>
      </c>
      <c r="Q43" s="146">
        <v>1.05</v>
      </c>
      <c r="R43" s="146">
        <v>0.1</v>
      </c>
      <c r="S43" s="146">
        <v>1E-3</v>
      </c>
    </row>
    <row r="44" spans="1:20" ht="11.4" customHeight="1" x14ac:dyDescent="0.25">
      <c r="B44" s="36"/>
      <c r="C44" s="13" t="s">
        <v>164</v>
      </c>
      <c r="D44" s="147">
        <v>200</v>
      </c>
      <c r="E44" s="9">
        <f>4.37*200/180</f>
        <v>4.8555555555555552</v>
      </c>
      <c r="F44" s="9">
        <f>2.5*2</f>
        <v>5</v>
      </c>
      <c r="G44" s="9">
        <v>9.7750000000000004</v>
      </c>
      <c r="H44" s="9">
        <f t="shared" ref="H44:H46" si="7">E44*4+F44*9+G44*4</f>
        <v>103.52222222222221</v>
      </c>
      <c r="I44" s="9">
        <v>3.5000000000000003E-2</v>
      </c>
      <c r="J44" s="9">
        <v>0.245</v>
      </c>
      <c r="K44" s="9">
        <v>0.52</v>
      </c>
      <c r="L44" s="9">
        <v>0.35</v>
      </c>
      <c r="M44" s="9">
        <v>0</v>
      </c>
      <c r="N44" s="9">
        <v>217</v>
      </c>
      <c r="O44" s="9">
        <v>57.96</v>
      </c>
      <c r="P44" s="9">
        <v>24.5</v>
      </c>
      <c r="Q44" s="9">
        <v>0.17499999999999999</v>
      </c>
      <c r="R44" s="9">
        <v>0.7</v>
      </c>
      <c r="S44" s="10">
        <v>15.75</v>
      </c>
    </row>
    <row r="45" spans="1:20" ht="11.4" customHeight="1" x14ac:dyDescent="0.25">
      <c r="B45" s="119"/>
      <c r="C45" s="13" t="s">
        <v>57</v>
      </c>
      <c r="D45" s="147">
        <v>40</v>
      </c>
      <c r="E45" s="9">
        <v>2.7</v>
      </c>
      <c r="F45" s="9">
        <v>0.34</v>
      </c>
      <c r="G45" s="9">
        <v>20.059999999999999</v>
      </c>
      <c r="H45" s="10">
        <f t="shared" si="7"/>
        <v>94.1</v>
      </c>
      <c r="I45" s="9">
        <v>0.04</v>
      </c>
      <c r="J45" s="9">
        <v>0.01</v>
      </c>
      <c r="K45" s="9">
        <v>0</v>
      </c>
      <c r="L45" s="9">
        <v>0</v>
      </c>
      <c r="M45" s="9">
        <v>0.44</v>
      </c>
      <c r="N45" s="9">
        <v>8</v>
      </c>
      <c r="O45" s="9">
        <v>26</v>
      </c>
      <c r="P45" s="9">
        <v>5.6</v>
      </c>
      <c r="Q45" s="9">
        <v>0.44</v>
      </c>
      <c r="R45" s="9">
        <v>0</v>
      </c>
      <c r="S45" s="10">
        <v>0</v>
      </c>
    </row>
    <row r="46" spans="1:20" ht="11.4" customHeight="1" x14ac:dyDescent="0.25">
      <c r="B46" s="36"/>
      <c r="C46" s="13" t="s">
        <v>58</v>
      </c>
      <c r="D46" s="13">
        <v>20</v>
      </c>
      <c r="E46" s="146">
        <v>1.33</v>
      </c>
      <c r="F46" s="146">
        <v>0.24</v>
      </c>
      <c r="G46" s="146">
        <v>8.3699999999999992</v>
      </c>
      <c r="H46" s="10">
        <f t="shared" si="7"/>
        <v>40.959999999999994</v>
      </c>
      <c r="I46" s="146">
        <v>0.11</v>
      </c>
      <c r="J46" s="146">
        <v>7.0000000000000007E-2</v>
      </c>
      <c r="K46" s="146">
        <v>0.14000000000000001</v>
      </c>
      <c r="L46" s="146">
        <v>0</v>
      </c>
      <c r="M46" s="146">
        <v>0.11</v>
      </c>
      <c r="N46" s="146">
        <v>25.55</v>
      </c>
      <c r="O46" s="146">
        <v>43.75</v>
      </c>
      <c r="P46" s="146">
        <v>14</v>
      </c>
      <c r="Q46" s="146">
        <v>0.98</v>
      </c>
      <c r="R46" s="146">
        <v>0</v>
      </c>
      <c r="S46" s="10">
        <v>0</v>
      </c>
    </row>
    <row r="47" spans="1:20" ht="11.4" customHeight="1" x14ac:dyDescent="0.25">
      <c r="B47" s="36"/>
      <c r="C47" s="11"/>
      <c r="D47" s="1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20" ht="11.4" customHeight="1" x14ac:dyDescent="0.25">
      <c r="B48" s="15"/>
      <c r="C48" s="19" t="s">
        <v>19</v>
      </c>
      <c r="D48" s="17">
        <f>SUM(D40:D47)</f>
        <v>850</v>
      </c>
      <c r="E48" s="117">
        <f t="shared" ref="E48:S48" si="8">SUM(E40:E47)</f>
        <v>33.005555555555553</v>
      </c>
      <c r="F48" s="117">
        <f t="shared" si="8"/>
        <v>33.840000000000003</v>
      </c>
      <c r="G48" s="117">
        <f t="shared" si="8"/>
        <v>99.485000000000014</v>
      </c>
      <c r="H48" s="117">
        <f t="shared" si="8"/>
        <v>834.52222222222224</v>
      </c>
      <c r="I48" s="117">
        <f t="shared" si="8"/>
        <v>0.43099999999999999</v>
      </c>
      <c r="J48" s="117">
        <f t="shared" si="8"/>
        <v>0.625</v>
      </c>
      <c r="K48" s="117">
        <f t="shared" si="8"/>
        <v>35.640000000000008</v>
      </c>
      <c r="L48" s="117">
        <f t="shared" si="8"/>
        <v>0.35</v>
      </c>
      <c r="M48" s="117">
        <f t="shared" si="8"/>
        <v>3.3</v>
      </c>
      <c r="N48" s="117">
        <f t="shared" si="8"/>
        <v>366.7</v>
      </c>
      <c r="O48" s="117">
        <f t="shared" si="8"/>
        <v>507.14</v>
      </c>
      <c r="P48" s="117">
        <f t="shared" si="8"/>
        <v>140.57999999999998</v>
      </c>
      <c r="Q48" s="117">
        <f t="shared" si="8"/>
        <v>7.4350000000000005</v>
      </c>
      <c r="R48" s="117">
        <f t="shared" si="8"/>
        <v>4.7699999999999996</v>
      </c>
      <c r="S48" s="117">
        <f t="shared" si="8"/>
        <v>21.008900000000001</v>
      </c>
    </row>
    <row r="49" spans="1:20" ht="11.4" customHeight="1" x14ac:dyDescent="0.25">
      <c r="B49" s="14"/>
      <c r="C49" s="14"/>
      <c r="D49" s="1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20" ht="11.4" customHeight="1" x14ac:dyDescent="0.25">
      <c r="B50" s="163" t="s">
        <v>139</v>
      </c>
      <c r="C50" s="164"/>
      <c r="D50" s="3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</row>
    <row r="51" spans="1:20" ht="11.4" customHeight="1" x14ac:dyDescent="0.25">
      <c r="B51" s="18">
        <v>55</v>
      </c>
      <c r="C51" s="13" t="s">
        <v>107</v>
      </c>
      <c r="D51" s="13">
        <v>60</v>
      </c>
      <c r="E51" s="10">
        <v>0.7</v>
      </c>
      <c r="F51" s="10">
        <v>1</v>
      </c>
      <c r="G51" s="10">
        <v>2.6</v>
      </c>
      <c r="H51" s="10">
        <f>E51*4+F51*9+G51*4</f>
        <v>22.200000000000003</v>
      </c>
      <c r="I51" s="10">
        <v>0.01</v>
      </c>
      <c r="J51" s="10">
        <v>0.01</v>
      </c>
      <c r="K51" s="10">
        <v>2.08</v>
      </c>
      <c r="L51" s="10">
        <v>1.6999999999999999E-3</v>
      </c>
      <c r="M51" s="10">
        <v>0.13</v>
      </c>
      <c r="N51" s="10">
        <v>9.4</v>
      </c>
      <c r="O51" s="10">
        <v>15.7</v>
      </c>
      <c r="P51" s="10">
        <v>9.34</v>
      </c>
      <c r="Q51" s="10">
        <v>0.35</v>
      </c>
      <c r="R51" s="10">
        <v>0.09</v>
      </c>
      <c r="S51" s="10">
        <v>0</v>
      </c>
    </row>
    <row r="52" spans="1:20" ht="11.4" customHeight="1" x14ac:dyDescent="0.25">
      <c r="B52" s="36" t="s">
        <v>116</v>
      </c>
      <c r="C52" s="13" t="s">
        <v>117</v>
      </c>
      <c r="D52" s="13">
        <v>200</v>
      </c>
      <c r="E52" s="10">
        <v>4.8</v>
      </c>
      <c r="F52" s="10">
        <v>6</v>
      </c>
      <c r="G52" s="10">
        <v>22</v>
      </c>
      <c r="H52" s="10">
        <f>E52*4+F52*9+G52*4</f>
        <v>161.19999999999999</v>
      </c>
      <c r="I52" s="10">
        <v>0.2</v>
      </c>
      <c r="J52" s="10">
        <v>0.1</v>
      </c>
      <c r="K52" s="10">
        <v>8.75</v>
      </c>
      <c r="L52" s="10">
        <v>0.125</v>
      </c>
      <c r="M52" s="10">
        <v>1</v>
      </c>
      <c r="N52" s="10">
        <v>49.25</v>
      </c>
      <c r="O52" s="10">
        <v>173.3</v>
      </c>
      <c r="P52" s="10">
        <v>48.25</v>
      </c>
      <c r="Q52" s="10">
        <v>3.5</v>
      </c>
      <c r="R52" s="10">
        <v>1.1299999999999999</v>
      </c>
      <c r="S52" s="10">
        <v>8.0000000000000002E-3</v>
      </c>
    </row>
    <row r="53" spans="1:20" s="75" customFormat="1" ht="11.4" customHeight="1" x14ac:dyDescent="0.25">
      <c r="A53" s="10"/>
      <c r="B53" s="36">
        <v>289</v>
      </c>
      <c r="C53" s="13" t="s">
        <v>128</v>
      </c>
      <c r="D53" s="147">
        <v>175</v>
      </c>
      <c r="E53" s="146">
        <v>12.56</v>
      </c>
      <c r="F53" s="146">
        <v>11.72</v>
      </c>
      <c r="G53" s="146">
        <v>15.2</v>
      </c>
      <c r="H53" s="146">
        <f>E53*4+F53*9+G53*4</f>
        <v>216.51999999999998</v>
      </c>
      <c r="I53" s="146">
        <v>7.0000000000000007E-2</v>
      </c>
      <c r="J53" s="146">
        <v>0.15</v>
      </c>
      <c r="K53" s="146">
        <v>11.33</v>
      </c>
      <c r="L53" s="146">
        <v>0.14599999999999999</v>
      </c>
      <c r="M53" s="146">
        <v>0.2</v>
      </c>
      <c r="N53" s="146">
        <v>36.799999999999997</v>
      </c>
      <c r="O53" s="146">
        <v>108.2</v>
      </c>
      <c r="P53" s="146">
        <v>38.700000000000003</v>
      </c>
      <c r="Q53" s="146">
        <v>1.92</v>
      </c>
      <c r="R53" s="146">
        <v>1.02</v>
      </c>
      <c r="S53" s="146">
        <v>5.0000000000000001E-3</v>
      </c>
      <c r="T53" s="31"/>
    </row>
    <row r="54" spans="1:20" s="75" customFormat="1" ht="11.4" customHeight="1" x14ac:dyDescent="0.25">
      <c r="A54" s="10"/>
      <c r="B54" s="18">
        <v>338</v>
      </c>
      <c r="C54" s="13" t="s">
        <v>109</v>
      </c>
      <c r="D54" s="147">
        <v>180</v>
      </c>
      <c r="E54" s="10">
        <v>1.6</v>
      </c>
      <c r="F54" s="10">
        <v>0.2</v>
      </c>
      <c r="G54" s="10">
        <v>17.100000000000001</v>
      </c>
      <c r="H54" s="10">
        <f t="shared" ref="H54" si="9">E54*4+F54*9+G54*4</f>
        <v>76.600000000000009</v>
      </c>
      <c r="I54" s="10">
        <v>7.0000000000000007E-2</v>
      </c>
      <c r="J54" s="10">
        <v>0.14000000000000001</v>
      </c>
      <c r="K54" s="10">
        <v>18</v>
      </c>
      <c r="L54" s="10">
        <v>0.14000000000000001</v>
      </c>
      <c r="M54" s="10">
        <v>1.98</v>
      </c>
      <c r="N54" s="10">
        <v>36</v>
      </c>
      <c r="O54" s="10">
        <v>61.2</v>
      </c>
      <c r="P54" s="10">
        <v>28.8</v>
      </c>
      <c r="Q54" s="10">
        <v>1.08</v>
      </c>
      <c r="R54" s="10">
        <v>0.18</v>
      </c>
      <c r="S54" s="10">
        <v>3.0000000000000001E-3</v>
      </c>
      <c r="T54" s="31"/>
    </row>
    <row r="55" spans="1:20" s="73" customFormat="1" ht="11.4" customHeight="1" x14ac:dyDescent="0.25">
      <c r="A55" s="10"/>
      <c r="B55" s="36">
        <v>361</v>
      </c>
      <c r="C55" s="13" t="s">
        <v>140</v>
      </c>
      <c r="D55" s="13">
        <v>200</v>
      </c>
      <c r="E55" s="10">
        <v>5.8</v>
      </c>
      <c r="F55" s="10">
        <v>5</v>
      </c>
      <c r="G55" s="10">
        <v>9.6</v>
      </c>
      <c r="H55" s="10">
        <v>107</v>
      </c>
      <c r="I55" s="10">
        <v>0.08</v>
      </c>
      <c r="J55" s="10">
        <v>0.3</v>
      </c>
      <c r="K55" s="10">
        <v>2.6</v>
      </c>
      <c r="L55" s="10">
        <v>0.4</v>
      </c>
      <c r="M55" s="10">
        <v>0</v>
      </c>
      <c r="N55" s="10">
        <v>240</v>
      </c>
      <c r="O55" s="10">
        <v>180</v>
      </c>
      <c r="P55" s="10">
        <v>28</v>
      </c>
      <c r="Q55" s="10">
        <v>0.2</v>
      </c>
      <c r="R55" s="10">
        <v>0</v>
      </c>
      <c r="S55" s="10">
        <v>0</v>
      </c>
      <c r="T55" s="31"/>
    </row>
    <row r="56" spans="1:20" ht="11.4" customHeight="1" x14ac:dyDescent="0.25">
      <c r="B56" s="36"/>
      <c r="C56" s="13" t="s">
        <v>57</v>
      </c>
      <c r="D56" s="13">
        <v>40</v>
      </c>
      <c r="E56" s="9">
        <v>2.7</v>
      </c>
      <c r="F56" s="9">
        <v>0.34</v>
      </c>
      <c r="G56" s="9">
        <v>20.059999999999999</v>
      </c>
      <c r="H56" s="10">
        <f t="shared" ref="H56:H57" si="10">E56*4+F56*9+G56*4</f>
        <v>94.1</v>
      </c>
      <c r="I56" s="9">
        <v>0.04</v>
      </c>
      <c r="J56" s="9">
        <v>0.01</v>
      </c>
      <c r="K56" s="9">
        <v>0</v>
      </c>
      <c r="L56" s="9">
        <v>0</v>
      </c>
      <c r="M56" s="9">
        <v>0.44</v>
      </c>
      <c r="N56" s="9">
        <v>8</v>
      </c>
      <c r="O56" s="9">
        <v>26</v>
      </c>
      <c r="P56" s="9">
        <v>5.6</v>
      </c>
      <c r="Q56" s="9">
        <v>0.44</v>
      </c>
      <c r="R56" s="9">
        <v>0</v>
      </c>
      <c r="S56" s="10">
        <v>0</v>
      </c>
    </row>
    <row r="57" spans="1:20" ht="11.4" customHeight="1" x14ac:dyDescent="0.25">
      <c r="B57" s="36"/>
      <c r="C57" s="13" t="s">
        <v>58</v>
      </c>
      <c r="D57" s="13">
        <v>40</v>
      </c>
      <c r="E57" s="9">
        <v>2.66</v>
      </c>
      <c r="F57" s="9">
        <v>0.48</v>
      </c>
      <c r="G57" s="9">
        <v>16.739999999999998</v>
      </c>
      <c r="H57" s="9">
        <f t="shared" si="10"/>
        <v>81.919999999999987</v>
      </c>
      <c r="I57" s="9">
        <v>0.22</v>
      </c>
      <c r="J57" s="9">
        <v>0.14000000000000001</v>
      </c>
      <c r="K57" s="9">
        <v>0.28000000000000003</v>
      </c>
      <c r="L57" s="9">
        <v>0</v>
      </c>
      <c r="M57" s="9">
        <v>0.22</v>
      </c>
      <c r="N57" s="9">
        <v>51.1</v>
      </c>
      <c r="O57" s="9">
        <v>87.5</v>
      </c>
      <c r="P57" s="9">
        <v>28</v>
      </c>
      <c r="Q57" s="9">
        <v>1.96</v>
      </c>
      <c r="R57" s="9">
        <v>0</v>
      </c>
      <c r="S57" s="10">
        <v>0</v>
      </c>
    </row>
    <row r="58" spans="1:20" ht="11.4" customHeight="1" x14ac:dyDescent="0.25">
      <c r="B58" s="109"/>
      <c r="C58" s="120"/>
      <c r="D58" s="1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20" ht="11.4" customHeight="1" x14ac:dyDescent="0.25">
      <c r="B59" s="15"/>
      <c r="C59" s="19" t="s">
        <v>19</v>
      </c>
      <c r="D59" s="17">
        <f>SUM(D51:D58)</f>
        <v>895</v>
      </c>
      <c r="E59" s="117">
        <f t="shared" ref="E59:S59" si="11">SUM(E51:E58)</f>
        <v>30.820000000000004</v>
      </c>
      <c r="F59" s="117">
        <f t="shared" si="11"/>
        <v>24.74</v>
      </c>
      <c r="G59" s="117">
        <f t="shared" si="11"/>
        <v>103.3</v>
      </c>
      <c r="H59" s="117">
        <f t="shared" si="11"/>
        <v>759.54</v>
      </c>
      <c r="I59" s="117">
        <f t="shared" si="11"/>
        <v>0.69000000000000006</v>
      </c>
      <c r="J59" s="117">
        <f t="shared" si="11"/>
        <v>0.85</v>
      </c>
      <c r="K59" s="117">
        <f t="shared" si="11"/>
        <v>43.04</v>
      </c>
      <c r="L59" s="117">
        <f t="shared" si="11"/>
        <v>0.81269999999999998</v>
      </c>
      <c r="M59" s="117">
        <f t="shared" si="11"/>
        <v>3.9699999999999998</v>
      </c>
      <c r="N59" s="117">
        <f t="shared" si="11"/>
        <v>430.55</v>
      </c>
      <c r="O59" s="117">
        <f t="shared" si="11"/>
        <v>651.9</v>
      </c>
      <c r="P59" s="117">
        <f t="shared" si="11"/>
        <v>186.69</v>
      </c>
      <c r="Q59" s="117">
        <f t="shared" si="11"/>
        <v>9.4499999999999993</v>
      </c>
      <c r="R59" s="117">
        <f t="shared" si="11"/>
        <v>2.4200000000000004</v>
      </c>
      <c r="S59" s="117">
        <f t="shared" si="11"/>
        <v>1.6E-2</v>
      </c>
    </row>
    <row r="60" spans="1:20" ht="11.4" customHeight="1" x14ac:dyDescent="0.25">
      <c r="B60" s="18"/>
      <c r="C60" s="13"/>
      <c r="D60" s="1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20" ht="11.4" customHeight="1" x14ac:dyDescent="0.25">
      <c r="B61" s="161" t="s">
        <v>135</v>
      </c>
      <c r="C61" s="162"/>
      <c r="D61" s="3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</row>
    <row r="62" spans="1:20" ht="11.4" customHeight="1" x14ac:dyDescent="0.25">
      <c r="B62" s="39">
        <v>15</v>
      </c>
      <c r="C62" s="149" t="s">
        <v>181</v>
      </c>
      <c r="D62" s="13">
        <v>20</v>
      </c>
      <c r="E62" s="10">
        <f>7.8*20/30</f>
        <v>5.2</v>
      </c>
      <c r="F62" s="10">
        <f>7.98*20/30</f>
        <v>5.3200000000000012</v>
      </c>
      <c r="G62" s="10">
        <v>0</v>
      </c>
      <c r="H62" s="10">
        <f>E62*4+F62*9+G62*4</f>
        <v>68.680000000000007</v>
      </c>
      <c r="I62" s="10">
        <v>0.01</v>
      </c>
      <c r="J62" s="10">
        <v>0.09</v>
      </c>
      <c r="K62" s="10">
        <v>0.21</v>
      </c>
      <c r="L62" s="10">
        <v>0.78</v>
      </c>
      <c r="M62" s="10">
        <v>0.15</v>
      </c>
      <c r="N62" s="10">
        <v>264</v>
      </c>
      <c r="O62" s="10">
        <v>150</v>
      </c>
      <c r="P62" s="10">
        <v>10.5</v>
      </c>
      <c r="Q62" s="10">
        <v>0.3</v>
      </c>
      <c r="R62" s="10">
        <v>1.05</v>
      </c>
      <c r="S62" s="10">
        <v>0</v>
      </c>
    </row>
    <row r="63" spans="1:20" ht="11.4" customHeight="1" x14ac:dyDescent="0.25">
      <c r="B63" s="18">
        <v>120</v>
      </c>
      <c r="C63" s="13" t="s">
        <v>106</v>
      </c>
      <c r="D63" s="13">
        <v>200</v>
      </c>
      <c r="E63" s="9">
        <v>6.3</v>
      </c>
      <c r="F63" s="9">
        <v>6.8</v>
      </c>
      <c r="G63" s="9">
        <v>19.3</v>
      </c>
      <c r="H63" s="10">
        <f>E63*4+F63*9+G63*4</f>
        <v>163.6</v>
      </c>
      <c r="I63" s="9">
        <v>0.05</v>
      </c>
      <c r="J63" s="9">
        <v>0.22</v>
      </c>
      <c r="K63" s="9">
        <v>0.75</v>
      </c>
      <c r="L63" s="9">
        <v>0.05</v>
      </c>
      <c r="M63" s="9">
        <v>0.5</v>
      </c>
      <c r="N63" s="9">
        <v>201.7</v>
      </c>
      <c r="O63" s="9">
        <v>168.2</v>
      </c>
      <c r="P63" s="9">
        <v>25.2</v>
      </c>
      <c r="Q63" s="9">
        <v>0.5</v>
      </c>
      <c r="R63" s="9">
        <v>0.78</v>
      </c>
      <c r="S63" s="10">
        <v>1.4999999999999999E-2</v>
      </c>
    </row>
    <row r="64" spans="1:20" ht="11.4" customHeight="1" x14ac:dyDescent="0.25">
      <c r="B64" s="51">
        <v>223</v>
      </c>
      <c r="C64" s="42" t="s">
        <v>149</v>
      </c>
      <c r="D64" s="13">
        <v>190</v>
      </c>
      <c r="E64" s="10">
        <v>20.5</v>
      </c>
      <c r="F64" s="10">
        <v>16.399999999999999</v>
      </c>
      <c r="G64" s="10">
        <f>6.8*3</f>
        <v>20.399999999999999</v>
      </c>
      <c r="H64" s="10">
        <f t="shared" ref="H64:H65" si="12">E64*4+F64*9+G64*4</f>
        <v>311.2</v>
      </c>
      <c r="I64" s="10">
        <v>0.16</v>
      </c>
      <c r="J64" s="10">
        <v>0.4</v>
      </c>
      <c r="K64" s="10">
        <v>0.8</v>
      </c>
      <c r="L64" s="10">
        <v>0.4</v>
      </c>
      <c r="M64" s="10">
        <v>6.8</v>
      </c>
      <c r="N64" s="10">
        <v>280.2</v>
      </c>
      <c r="O64" s="10">
        <v>386.6</v>
      </c>
      <c r="P64" s="10">
        <v>59.8</v>
      </c>
      <c r="Q64" s="10">
        <v>2.4</v>
      </c>
      <c r="R64" s="10">
        <v>1.19</v>
      </c>
      <c r="S64" s="10">
        <v>8.0000000000000002E-3</v>
      </c>
    </row>
    <row r="65" spans="1:20" ht="11.4" customHeight="1" x14ac:dyDescent="0.25">
      <c r="B65" s="86" t="s">
        <v>110</v>
      </c>
      <c r="C65" s="42" t="s">
        <v>148</v>
      </c>
      <c r="D65" s="13">
        <v>80</v>
      </c>
      <c r="E65" s="37">
        <v>0.31</v>
      </c>
      <c r="F65" s="37">
        <v>0</v>
      </c>
      <c r="G65" s="37">
        <v>29.4</v>
      </c>
      <c r="H65" s="37">
        <f t="shared" si="12"/>
        <v>118.83999999999999</v>
      </c>
      <c r="I65" s="37">
        <v>1.2E-2</v>
      </c>
      <c r="J65" s="37">
        <v>2.4E-2</v>
      </c>
      <c r="K65" s="37">
        <v>2.4</v>
      </c>
      <c r="L65" s="37">
        <v>0</v>
      </c>
      <c r="M65" s="37">
        <v>3</v>
      </c>
      <c r="N65" s="37">
        <v>22.46</v>
      </c>
      <c r="O65" s="37">
        <v>18.5</v>
      </c>
      <c r="P65" s="37">
        <v>7.26</v>
      </c>
      <c r="Q65" s="37">
        <v>0.192</v>
      </c>
      <c r="R65" s="37">
        <v>0</v>
      </c>
      <c r="S65" s="37">
        <v>0</v>
      </c>
    </row>
    <row r="66" spans="1:20" ht="11.4" customHeight="1" x14ac:dyDescent="0.25">
      <c r="B66" s="86">
        <v>349</v>
      </c>
      <c r="C66" s="42" t="s">
        <v>146</v>
      </c>
      <c r="D66" s="13">
        <v>200</v>
      </c>
      <c r="E66" s="146">
        <v>0.66</v>
      </c>
      <c r="F66" s="146">
        <v>0.09</v>
      </c>
      <c r="G66" s="146">
        <v>32.01</v>
      </c>
      <c r="H66" s="9">
        <f>E66*4+F66*9+G66*4</f>
        <v>131.48999999999998</v>
      </c>
      <c r="I66" s="146">
        <v>0.02</v>
      </c>
      <c r="J66" s="146">
        <v>0.02</v>
      </c>
      <c r="K66" s="146">
        <v>0.73</v>
      </c>
      <c r="L66" s="146">
        <v>0</v>
      </c>
      <c r="M66" s="146">
        <v>0</v>
      </c>
      <c r="N66" s="146">
        <v>32.479999999999997</v>
      </c>
      <c r="O66" s="146">
        <v>23.44</v>
      </c>
      <c r="P66" s="146">
        <v>17.46</v>
      </c>
      <c r="Q66" s="146">
        <v>0.69</v>
      </c>
      <c r="R66" s="146">
        <v>0</v>
      </c>
      <c r="S66" s="10">
        <v>0</v>
      </c>
    </row>
    <row r="67" spans="1:20" ht="11.4" customHeight="1" x14ac:dyDescent="0.25">
      <c r="B67" s="36"/>
      <c r="C67" s="13" t="s">
        <v>57</v>
      </c>
      <c r="D67" s="13">
        <v>40</v>
      </c>
      <c r="E67" s="9">
        <v>2.7</v>
      </c>
      <c r="F67" s="9">
        <v>0.34</v>
      </c>
      <c r="G67" s="9">
        <v>20.059999999999999</v>
      </c>
      <c r="H67" s="10">
        <f t="shared" ref="H67:H68" si="13">E67*4+F67*9+G67*4</f>
        <v>94.1</v>
      </c>
      <c r="I67" s="9">
        <v>0.04</v>
      </c>
      <c r="J67" s="9">
        <v>0.01</v>
      </c>
      <c r="K67" s="9">
        <v>0</v>
      </c>
      <c r="L67" s="9">
        <v>0</v>
      </c>
      <c r="M67" s="9">
        <v>0.44</v>
      </c>
      <c r="N67" s="9">
        <v>8</v>
      </c>
      <c r="O67" s="9">
        <v>26</v>
      </c>
      <c r="P67" s="9">
        <v>5.6</v>
      </c>
      <c r="Q67" s="9">
        <v>0.44</v>
      </c>
      <c r="R67" s="9">
        <v>0</v>
      </c>
      <c r="S67" s="10">
        <v>0</v>
      </c>
    </row>
    <row r="68" spans="1:20" ht="11.4" customHeight="1" x14ac:dyDescent="0.25">
      <c r="B68" s="36"/>
      <c r="C68" s="13" t="s">
        <v>58</v>
      </c>
      <c r="D68" s="13">
        <v>20</v>
      </c>
      <c r="E68" s="146">
        <v>1.33</v>
      </c>
      <c r="F68" s="146">
        <v>0.24</v>
      </c>
      <c r="G68" s="146">
        <v>8.3699999999999992</v>
      </c>
      <c r="H68" s="10">
        <f t="shared" si="13"/>
        <v>40.959999999999994</v>
      </c>
      <c r="I68" s="146">
        <v>0.11</v>
      </c>
      <c r="J68" s="146">
        <v>7.0000000000000007E-2</v>
      </c>
      <c r="K68" s="146">
        <v>0.14000000000000001</v>
      </c>
      <c r="L68" s="146">
        <v>0</v>
      </c>
      <c r="M68" s="146">
        <v>0.11</v>
      </c>
      <c r="N68" s="146">
        <v>25.55</v>
      </c>
      <c r="O68" s="146">
        <v>43.75</v>
      </c>
      <c r="P68" s="146">
        <v>14</v>
      </c>
      <c r="Q68" s="146">
        <v>0.98</v>
      </c>
      <c r="R68" s="146">
        <v>0</v>
      </c>
      <c r="S68" s="10">
        <v>0</v>
      </c>
    </row>
    <row r="69" spans="1:20" ht="11.4" customHeight="1" x14ac:dyDescent="0.25">
      <c r="B69" s="36"/>
      <c r="C69" s="11"/>
      <c r="D69" s="1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20" ht="11.4" customHeight="1" x14ac:dyDescent="0.25">
      <c r="B70" s="15"/>
      <c r="C70" s="19"/>
      <c r="D70" s="17">
        <f>SUM(D62:D69)</f>
        <v>750</v>
      </c>
      <c r="E70" s="117">
        <f t="shared" ref="E70:S70" si="14">SUM(E62:E69)</f>
        <v>37</v>
      </c>
      <c r="F70" s="117">
        <f t="shared" si="14"/>
        <v>29.189999999999998</v>
      </c>
      <c r="G70" s="117">
        <f t="shared" si="14"/>
        <v>129.54</v>
      </c>
      <c r="H70" s="117">
        <f t="shared" si="14"/>
        <v>928.87000000000012</v>
      </c>
      <c r="I70" s="117">
        <f t="shared" si="14"/>
        <v>0.40199999999999997</v>
      </c>
      <c r="J70" s="117">
        <f t="shared" si="14"/>
        <v>0.83400000000000007</v>
      </c>
      <c r="K70" s="117">
        <f t="shared" si="14"/>
        <v>5.03</v>
      </c>
      <c r="L70" s="117">
        <f t="shared" si="14"/>
        <v>1.23</v>
      </c>
      <c r="M70" s="117">
        <f t="shared" si="14"/>
        <v>10.999999999999998</v>
      </c>
      <c r="N70" s="117">
        <f t="shared" si="14"/>
        <v>834.39</v>
      </c>
      <c r="O70" s="117">
        <f t="shared" si="14"/>
        <v>816.49</v>
      </c>
      <c r="P70" s="117">
        <f t="shared" si="14"/>
        <v>139.82</v>
      </c>
      <c r="Q70" s="117">
        <f t="shared" si="14"/>
        <v>5.5020000000000007</v>
      </c>
      <c r="R70" s="117">
        <f t="shared" si="14"/>
        <v>3.02</v>
      </c>
      <c r="S70" s="117">
        <f t="shared" si="14"/>
        <v>2.3E-2</v>
      </c>
    </row>
    <row r="71" spans="1:20" ht="11.4" customHeight="1" x14ac:dyDescent="0.25">
      <c r="B71" s="24"/>
      <c r="C71" s="25"/>
      <c r="D71" s="1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20" ht="11.4" customHeight="1" x14ac:dyDescent="0.25">
      <c r="B72" s="161" t="s">
        <v>136</v>
      </c>
      <c r="C72" s="162"/>
      <c r="D72" s="3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</row>
    <row r="73" spans="1:20" ht="11.4" customHeight="1" x14ac:dyDescent="0.25">
      <c r="B73" s="36">
        <v>70</v>
      </c>
      <c r="C73" s="13" t="s">
        <v>143</v>
      </c>
      <c r="D73" s="13">
        <v>60</v>
      </c>
      <c r="E73" s="10">
        <v>0.4</v>
      </c>
      <c r="F73" s="10">
        <v>0.05</v>
      </c>
      <c r="G73" s="10">
        <v>0.85</v>
      </c>
      <c r="H73" s="10">
        <f>E73*4+F73*9+G73*4</f>
        <v>5.45</v>
      </c>
      <c r="I73" s="10">
        <v>0.01</v>
      </c>
      <c r="J73" s="10">
        <v>0.05</v>
      </c>
      <c r="K73" s="10">
        <v>1.75</v>
      </c>
      <c r="L73" s="10">
        <v>0</v>
      </c>
      <c r="M73" s="10">
        <v>0.05</v>
      </c>
      <c r="N73" s="10">
        <v>11.5</v>
      </c>
      <c r="O73" s="10">
        <v>12</v>
      </c>
      <c r="P73" s="10">
        <v>7</v>
      </c>
      <c r="Q73" s="10">
        <v>0.3</v>
      </c>
      <c r="R73" s="10">
        <v>0</v>
      </c>
      <c r="S73" s="10">
        <v>0</v>
      </c>
    </row>
    <row r="74" spans="1:20" ht="11.4" customHeight="1" x14ac:dyDescent="0.25">
      <c r="B74" s="109">
        <v>81</v>
      </c>
      <c r="C74" s="20" t="s">
        <v>63</v>
      </c>
      <c r="D74" s="13">
        <v>200</v>
      </c>
      <c r="E74" s="10">
        <v>2</v>
      </c>
      <c r="F74" s="10">
        <v>5</v>
      </c>
      <c r="G74" s="10">
        <v>13.44</v>
      </c>
      <c r="H74" s="10">
        <f t="shared" ref="H74:H80" si="15">E74*4+F74*9+G74*4</f>
        <v>106.75999999999999</v>
      </c>
      <c r="I74" s="10">
        <v>7.0000000000000007E-2</v>
      </c>
      <c r="J74" s="10">
        <v>0.05</v>
      </c>
      <c r="K74" s="10">
        <v>9.1</v>
      </c>
      <c r="L74" s="10">
        <v>0</v>
      </c>
      <c r="M74" s="10">
        <v>0.25</v>
      </c>
      <c r="N74" s="10">
        <v>41.9</v>
      </c>
      <c r="O74" s="10">
        <v>65.8</v>
      </c>
      <c r="P74" s="10">
        <v>29.8</v>
      </c>
      <c r="Q74" s="10">
        <v>1.3</v>
      </c>
      <c r="R74" s="10">
        <v>0.76</v>
      </c>
      <c r="S74" s="10">
        <v>8.0000000000000002E-3</v>
      </c>
    </row>
    <row r="75" spans="1:20" ht="11.4" customHeight="1" x14ac:dyDescent="0.25">
      <c r="B75" s="109" t="s">
        <v>122</v>
      </c>
      <c r="C75" s="20" t="s">
        <v>123</v>
      </c>
      <c r="D75" s="13">
        <v>80</v>
      </c>
      <c r="E75" s="10">
        <v>7.4</v>
      </c>
      <c r="F75" s="10">
        <v>7.1</v>
      </c>
      <c r="G75" s="10">
        <v>9.6</v>
      </c>
      <c r="H75" s="10">
        <f t="shared" si="15"/>
        <v>131.9</v>
      </c>
      <c r="I75" s="10">
        <v>7.0000000000000007E-2</v>
      </c>
      <c r="J75" s="10">
        <v>7.0000000000000007E-2</v>
      </c>
      <c r="K75" s="10">
        <v>3.15</v>
      </c>
      <c r="L75" s="10">
        <v>7.0000000000000007E-2</v>
      </c>
      <c r="M75" s="10">
        <v>0.91</v>
      </c>
      <c r="N75" s="10">
        <v>63.2</v>
      </c>
      <c r="O75" s="10">
        <v>106.8</v>
      </c>
      <c r="P75" s="10">
        <v>18.2</v>
      </c>
      <c r="Q75" s="10">
        <v>0.49</v>
      </c>
      <c r="R75" s="10">
        <v>0.56000000000000005</v>
      </c>
      <c r="S75" s="10">
        <v>0.03</v>
      </c>
    </row>
    <row r="76" spans="1:20" ht="11.4" customHeight="1" x14ac:dyDescent="0.25">
      <c r="B76" s="109">
        <v>311</v>
      </c>
      <c r="C76" s="20" t="s">
        <v>111</v>
      </c>
      <c r="D76" s="13">
        <v>150</v>
      </c>
      <c r="E76" s="10">
        <v>3.9</v>
      </c>
      <c r="F76" s="10">
        <v>6.1</v>
      </c>
      <c r="G76" s="10">
        <v>17.3</v>
      </c>
      <c r="H76" s="10">
        <f t="shared" si="15"/>
        <v>139.69999999999999</v>
      </c>
      <c r="I76" s="10">
        <v>0.13</v>
      </c>
      <c r="J76" s="10">
        <v>0.13</v>
      </c>
      <c r="K76" s="10">
        <v>15.8</v>
      </c>
      <c r="L76" s="10">
        <v>7.8E-2</v>
      </c>
      <c r="M76" s="10">
        <v>0.26</v>
      </c>
      <c r="N76" s="10">
        <v>54.3</v>
      </c>
      <c r="O76" s="10">
        <v>101.4</v>
      </c>
      <c r="P76" s="10">
        <v>29.6</v>
      </c>
      <c r="Q76" s="10">
        <v>1.04</v>
      </c>
      <c r="R76" s="10">
        <v>0.5</v>
      </c>
      <c r="S76" s="10">
        <v>0.5</v>
      </c>
    </row>
    <row r="77" spans="1:20" s="73" customFormat="1" ht="11.4" customHeight="1" x14ac:dyDescent="0.25">
      <c r="A77" s="10"/>
      <c r="B77" s="36"/>
      <c r="C77" s="13" t="s">
        <v>163</v>
      </c>
      <c r="D77" s="13">
        <v>100</v>
      </c>
      <c r="E77" s="10">
        <v>3.2</v>
      </c>
      <c r="F77" s="10">
        <v>3.2</v>
      </c>
      <c r="G77" s="10">
        <f>1.15*4.1</f>
        <v>4.714999999999999</v>
      </c>
      <c r="H77" s="10">
        <f t="shared" si="15"/>
        <v>60.459999999999994</v>
      </c>
      <c r="I77" s="10">
        <v>0.04</v>
      </c>
      <c r="J77" s="10">
        <v>0.2</v>
      </c>
      <c r="K77" s="10">
        <v>0.6</v>
      </c>
      <c r="L77" s="10">
        <v>0.03</v>
      </c>
      <c r="M77" s="10">
        <v>0</v>
      </c>
      <c r="N77" s="10">
        <v>122</v>
      </c>
      <c r="O77" s="10">
        <v>96.5</v>
      </c>
      <c r="P77" s="10">
        <v>14</v>
      </c>
      <c r="Q77" s="10">
        <v>0.1</v>
      </c>
      <c r="R77" s="9">
        <v>0.8</v>
      </c>
      <c r="S77" s="10">
        <v>8</v>
      </c>
      <c r="T77" s="31"/>
    </row>
    <row r="78" spans="1:20" ht="11.4" customHeight="1" x14ac:dyDescent="0.25">
      <c r="B78" s="36" t="s">
        <v>110</v>
      </c>
      <c r="C78" s="13" t="s">
        <v>171</v>
      </c>
      <c r="D78" s="13">
        <v>200</v>
      </c>
      <c r="E78" s="150">
        <v>0.52</v>
      </c>
      <c r="F78" s="150">
        <v>0.18</v>
      </c>
      <c r="G78" s="150">
        <v>28.86</v>
      </c>
      <c r="H78" s="9">
        <f t="shared" si="15"/>
        <v>119.14</v>
      </c>
      <c r="I78" s="150">
        <v>1.4E-2</v>
      </c>
      <c r="J78" s="150">
        <v>1.7999999999999999E-2</v>
      </c>
      <c r="K78" s="150">
        <v>27.6</v>
      </c>
      <c r="L78" s="150">
        <v>0</v>
      </c>
      <c r="M78" s="150">
        <v>0</v>
      </c>
      <c r="N78" s="150">
        <v>23.7</v>
      </c>
      <c r="O78" s="150">
        <v>18.399999999999999</v>
      </c>
      <c r="P78" s="150">
        <v>13.4</v>
      </c>
      <c r="Q78" s="150">
        <v>0.71199999999999997</v>
      </c>
      <c r="R78" s="150">
        <v>0.01</v>
      </c>
      <c r="S78" s="10">
        <v>0.88</v>
      </c>
    </row>
    <row r="79" spans="1:20" ht="11.4" customHeight="1" x14ac:dyDescent="0.25">
      <c r="B79" s="119"/>
      <c r="C79" s="13" t="s">
        <v>57</v>
      </c>
      <c r="D79" s="13">
        <v>60</v>
      </c>
      <c r="E79" s="9">
        <f>2.7*60/40</f>
        <v>4.05</v>
      </c>
      <c r="F79" s="9">
        <f>0.34*60/40</f>
        <v>0.51</v>
      </c>
      <c r="G79" s="9">
        <f>20.06*60/40</f>
        <v>30.089999999999996</v>
      </c>
      <c r="H79" s="146">
        <f t="shared" si="15"/>
        <v>141.14999999999998</v>
      </c>
      <c r="I79" s="9">
        <f>0.11*0.6</f>
        <v>6.6000000000000003E-2</v>
      </c>
      <c r="J79" s="9">
        <f>0.03*0.6</f>
        <v>1.7999999999999999E-2</v>
      </c>
      <c r="K79" s="9">
        <v>0</v>
      </c>
      <c r="L79" s="9">
        <v>0</v>
      </c>
      <c r="M79" s="9">
        <f>1.1*0.6</f>
        <v>0.66</v>
      </c>
      <c r="N79" s="9">
        <f>20*0.6</f>
        <v>12</v>
      </c>
      <c r="O79" s="9">
        <f>65*0.6</f>
        <v>39</v>
      </c>
      <c r="P79" s="9">
        <f>14*0.6</f>
        <v>8.4</v>
      </c>
      <c r="Q79" s="9">
        <f>1.1*0.6</f>
        <v>0.66</v>
      </c>
      <c r="R79" s="9">
        <v>0</v>
      </c>
      <c r="S79" s="10">
        <v>0</v>
      </c>
    </row>
    <row r="80" spans="1:20" ht="11.4" customHeight="1" x14ac:dyDescent="0.25">
      <c r="B80" s="36"/>
      <c r="C80" s="13" t="s">
        <v>58</v>
      </c>
      <c r="D80" s="13">
        <v>20</v>
      </c>
      <c r="E80" s="146">
        <v>1.33</v>
      </c>
      <c r="F80" s="146">
        <v>0.24</v>
      </c>
      <c r="G80" s="146">
        <v>8.3699999999999992</v>
      </c>
      <c r="H80" s="10">
        <f t="shared" si="15"/>
        <v>40.959999999999994</v>
      </c>
      <c r="I80" s="146">
        <v>0.11</v>
      </c>
      <c r="J80" s="146">
        <v>7.0000000000000007E-2</v>
      </c>
      <c r="K80" s="146">
        <v>0.14000000000000001</v>
      </c>
      <c r="L80" s="146">
        <v>0</v>
      </c>
      <c r="M80" s="146">
        <v>0.11</v>
      </c>
      <c r="N80" s="146">
        <v>25.55</v>
      </c>
      <c r="O80" s="146">
        <v>43.75</v>
      </c>
      <c r="P80" s="146">
        <v>14</v>
      </c>
      <c r="Q80" s="146">
        <v>0.98</v>
      </c>
      <c r="R80" s="146">
        <v>0</v>
      </c>
      <c r="S80" s="10">
        <v>0</v>
      </c>
    </row>
    <row r="81" spans="1:20" ht="11.4" customHeight="1" x14ac:dyDescent="0.25">
      <c r="B81" s="36"/>
      <c r="C81" s="11"/>
      <c r="D81" s="1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20" ht="11.4" customHeight="1" x14ac:dyDescent="0.25">
      <c r="B82" s="15"/>
      <c r="C82" s="16" t="s">
        <v>19</v>
      </c>
      <c r="D82" s="17">
        <f t="shared" ref="D82:S82" si="16">SUM(D73:D81)</f>
        <v>870</v>
      </c>
      <c r="E82" s="117">
        <f t="shared" si="16"/>
        <v>22.800000000000004</v>
      </c>
      <c r="F82" s="117">
        <f t="shared" si="16"/>
        <v>22.38</v>
      </c>
      <c r="G82" s="117">
        <f t="shared" si="16"/>
        <v>113.22499999999999</v>
      </c>
      <c r="H82" s="117">
        <f t="shared" si="16"/>
        <v>745.52</v>
      </c>
      <c r="I82" s="117">
        <f t="shared" si="16"/>
        <v>0.51</v>
      </c>
      <c r="J82" s="117">
        <f t="shared" si="16"/>
        <v>0.60600000000000009</v>
      </c>
      <c r="K82" s="117">
        <f t="shared" si="16"/>
        <v>58.14</v>
      </c>
      <c r="L82" s="117">
        <f t="shared" si="16"/>
        <v>0.17800000000000002</v>
      </c>
      <c r="M82" s="117">
        <f t="shared" si="16"/>
        <v>2.2399999999999998</v>
      </c>
      <c r="N82" s="117">
        <f t="shared" si="16"/>
        <v>354.15</v>
      </c>
      <c r="O82" s="117">
        <f t="shared" si="16"/>
        <v>483.65</v>
      </c>
      <c r="P82" s="117">
        <f t="shared" si="16"/>
        <v>134.4</v>
      </c>
      <c r="Q82" s="117">
        <f t="shared" si="16"/>
        <v>5.5820000000000007</v>
      </c>
      <c r="R82" s="117">
        <f t="shared" si="16"/>
        <v>2.63</v>
      </c>
      <c r="S82" s="117">
        <f t="shared" si="16"/>
        <v>9.418000000000001</v>
      </c>
    </row>
    <row r="83" spans="1:20" ht="11.4" customHeight="1" x14ac:dyDescent="0.25">
      <c r="B83" s="22"/>
      <c r="C83" s="27"/>
      <c r="D83" s="1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20" ht="11.4" customHeight="1" x14ac:dyDescent="0.25">
      <c r="B84" s="163" t="s">
        <v>137</v>
      </c>
      <c r="C84" s="164"/>
      <c r="D84" s="3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</row>
    <row r="85" spans="1:20" ht="11.4" customHeight="1" x14ac:dyDescent="0.25">
      <c r="B85" s="32">
        <v>45</v>
      </c>
      <c r="C85" s="45" t="s">
        <v>179</v>
      </c>
      <c r="D85" s="13">
        <v>60</v>
      </c>
      <c r="E85" s="146">
        <v>0.85</v>
      </c>
      <c r="F85" s="146">
        <v>2.5</v>
      </c>
      <c r="G85" s="146">
        <v>5.2</v>
      </c>
      <c r="H85" s="146">
        <f>E85*4+F85*9+G85*4</f>
        <v>46.7</v>
      </c>
      <c r="I85" s="146">
        <v>1.0999999999999999E-2</v>
      </c>
      <c r="J85" s="146">
        <v>0.01</v>
      </c>
      <c r="K85" s="146">
        <v>9.9</v>
      </c>
      <c r="L85" s="146">
        <v>0</v>
      </c>
      <c r="M85" s="146">
        <v>0.65</v>
      </c>
      <c r="N85" s="146">
        <v>26.1</v>
      </c>
      <c r="O85" s="146">
        <v>16.899999999999999</v>
      </c>
      <c r="P85" s="146">
        <v>8</v>
      </c>
      <c r="Q85" s="146">
        <v>0.33</v>
      </c>
      <c r="R85" s="146">
        <v>0</v>
      </c>
      <c r="S85" s="146">
        <v>0</v>
      </c>
    </row>
    <row r="86" spans="1:20" ht="11.4" customHeight="1" x14ac:dyDescent="0.25">
      <c r="B86" s="18">
        <v>99</v>
      </c>
      <c r="C86" s="13" t="s">
        <v>162</v>
      </c>
      <c r="D86" s="13">
        <v>200</v>
      </c>
      <c r="E86" s="146">
        <v>1.59</v>
      </c>
      <c r="F86" s="146">
        <v>5.99</v>
      </c>
      <c r="G86" s="146">
        <v>9.15</v>
      </c>
      <c r="H86" s="146">
        <f>E86*4+F86*9+G86*4</f>
        <v>96.87</v>
      </c>
      <c r="I86" s="146">
        <v>7.0000000000000007E-2</v>
      </c>
      <c r="J86" s="146">
        <v>0.05</v>
      </c>
      <c r="K86" s="146">
        <v>10.38</v>
      </c>
      <c r="L86" s="146">
        <v>0</v>
      </c>
      <c r="M86" s="146">
        <v>2.5</v>
      </c>
      <c r="N86" s="146">
        <v>34.85</v>
      </c>
      <c r="O86" s="146">
        <v>49.28</v>
      </c>
      <c r="P86" s="146">
        <v>20.75</v>
      </c>
      <c r="Q86" s="146">
        <v>0.78</v>
      </c>
      <c r="R86" s="146">
        <v>0.57999999999999996</v>
      </c>
      <c r="S86" s="10">
        <v>0.17499999999999999</v>
      </c>
    </row>
    <row r="87" spans="1:20" ht="11.4" customHeight="1" x14ac:dyDescent="0.25">
      <c r="B87" s="109">
        <v>258</v>
      </c>
      <c r="C87" s="20" t="s">
        <v>145</v>
      </c>
      <c r="D87" s="13">
        <v>173</v>
      </c>
      <c r="E87" s="10">
        <v>16.3</v>
      </c>
      <c r="F87" s="10">
        <v>18.170000000000002</v>
      </c>
      <c r="G87" s="10">
        <v>15.33</v>
      </c>
      <c r="H87" s="10">
        <f t="shared" ref="H87:H91" si="17">E87*4+F87*9+G87*4</f>
        <v>290.05</v>
      </c>
      <c r="I87" s="10">
        <v>0.1</v>
      </c>
      <c r="J87" s="10">
        <v>0.14000000000000001</v>
      </c>
      <c r="K87" s="10">
        <v>5.35</v>
      </c>
      <c r="L87" s="10">
        <v>0</v>
      </c>
      <c r="M87" s="10">
        <v>0.5</v>
      </c>
      <c r="N87" s="10">
        <v>32.11</v>
      </c>
      <c r="O87" s="10">
        <v>213.44</v>
      </c>
      <c r="P87" s="10">
        <v>42.09</v>
      </c>
      <c r="Q87" s="10">
        <v>3.6</v>
      </c>
      <c r="R87" s="10">
        <v>0</v>
      </c>
      <c r="S87" s="10">
        <v>0</v>
      </c>
    </row>
    <row r="88" spans="1:20" s="75" customFormat="1" ht="11.4" customHeight="1" x14ac:dyDescent="0.25">
      <c r="A88" s="10"/>
      <c r="B88" s="110"/>
      <c r="C88" s="42" t="s">
        <v>172</v>
      </c>
      <c r="D88" s="13">
        <v>20</v>
      </c>
      <c r="E88" s="146">
        <v>1.5</v>
      </c>
      <c r="F88" s="146">
        <v>1.9</v>
      </c>
      <c r="G88" s="146">
        <v>15.2</v>
      </c>
      <c r="H88" s="9">
        <f t="shared" si="17"/>
        <v>83.899999999999991</v>
      </c>
      <c r="I88" s="146">
        <v>0.01</v>
      </c>
      <c r="J88" s="146">
        <v>0.01</v>
      </c>
      <c r="K88" s="146">
        <v>0</v>
      </c>
      <c r="L88" s="146">
        <v>0.01</v>
      </c>
      <c r="M88" s="146">
        <v>0.6</v>
      </c>
      <c r="N88" s="146">
        <v>6.2</v>
      </c>
      <c r="O88" s="146">
        <v>18</v>
      </c>
      <c r="P88" s="146">
        <v>4</v>
      </c>
      <c r="Q88" s="146">
        <v>0.4</v>
      </c>
      <c r="R88" s="146">
        <v>0</v>
      </c>
      <c r="S88" s="10">
        <v>0</v>
      </c>
      <c r="T88" s="31"/>
    </row>
    <row r="89" spans="1:20" s="75" customFormat="1" ht="11.4" customHeight="1" x14ac:dyDescent="0.25">
      <c r="A89" s="10"/>
      <c r="B89" s="121">
        <v>388</v>
      </c>
      <c r="C89" s="42" t="s">
        <v>147</v>
      </c>
      <c r="D89" s="13">
        <v>200</v>
      </c>
      <c r="E89" s="9">
        <v>0.3</v>
      </c>
      <c r="F89" s="9">
        <v>0</v>
      </c>
      <c r="G89" s="9">
        <v>15.2</v>
      </c>
      <c r="H89" s="10">
        <f t="shared" si="17"/>
        <v>62</v>
      </c>
      <c r="I89" s="9">
        <v>2.2000000000000002E-2</v>
      </c>
      <c r="J89" s="9">
        <v>2.2000000000000002E-2</v>
      </c>
      <c r="K89" s="9">
        <v>4</v>
      </c>
      <c r="L89" s="9">
        <v>0</v>
      </c>
      <c r="M89" s="9">
        <v>0.2</v>
      </c>
      <c r="N89" s="9">
        <v>14</v>
      </c>
      <c r="O89" s="9">
        <v>14</v>
      </c>
      <c r="P89" s="9">
        <v>8</v>
      </c>
      <c r="Q89" s="9">
        <v>2.8000000000000003</v>
      </c>
      <c r="R89" s="9">
        <v>0</v>
      </c>
      <c r="S89" s="10">
        <v>0</v>
      </c>
      <c r="T89" s="31"/>
    </row>
    <row r="90" spans="1:20" s="75" customFormat="1" ht="11.4" customHeight="1" x14ac:dyDescent="0.25">
      <c r="A90" s="10"/>
      <c r="B90" s="109"/>
      <c r="C90" s="13" t="s">
        <v>57</v>
      </c>
      <c r="D90" s="13">
        <v>60</v>
      </c>
      <c r="E90" s="9">
        <f>2.7*60/40</f>
        <v>4.05</v>
      </c>
      <c r="F90" s="9">
        <f>0.34*60/40</f>
        <v>0.51</v>
      </c>
      <c r="G90" s="9">
        <f>20.06*60/40</f>
        <v>30.089999999999996</v>
      </c>
      <c r="H90" s="146">
        <f t="shared" si="17"/>
        <v>141.14999999999998</v>
      </c>
      <c r="I90" s="9">
        <f>0.11*0.6</f>
        <v>6.6000000000000003E-2</v>
      </c>
      <c r="J90" s="9">
        <f>0.03*0.6</f>
        <v>1.7999999999999999E-2</v>
      </c>
      <c r="K90" s="9">
        <v>0</v>
      </c>
      <c r="L90" s="9">
        <v>0</v>
      </c>
      <c r="M90" s="9">
        <f>1.1*0.6</f>
        <v>0.66</v>
      </c>
      <c r="N90" s="9">
        <f>20*0.6</f>
        <v>12</v>
      </c>
      <c r="O90" s="9">
        <f>65*0.6</f>
        <v>39</v>
      </c>
      <c r="P90" s="9">
        <f>14*0.6</f>
        <v>8.4</v>
      </c>
      <c r="Q90" s="9">
        <f>1.1*0.6</f>
        <v>0.66</v>
      </c>
      <c r="R90" s="9">
        <v>0</v>
      </c>
      <c r="S90" s="10">
        <v>0</v>
      </c>
      <c r="T90" s="31"/>
    </row>
    <row r="91" spans="1:20" ht="11.4" customHeight="1" x14ac:dyDescent="0.25">
      <c r="B91" s="36"/>
      <c r="C91" s="13" t="s">
        <v>58</v>
      </c>
      <c r="D91" s="13">
        <v>20</v>
      </c>
      <c r="E91" s="146">
        <v>1.33</v>
      </c>
      <c r="F91" s="146">
        <v>0.24</v>
      </c>
      <c r="G91" s="146">
        <v>8.3699999999999992</v>
      </c>
      <c r="H91" s="10">
        <f t="shared" si="17"/>
        <v>40.959999999999994</v>
      </c>
      <c r="I91" s="146">
        <v>0.11</v>
      </c>
      <c r="J91" s="146">
        <v>7.0000000000000007E-2</v>
      </c>
      <c r="K91" s="146">
        <v>0.14000000000000001</v>
      </c>
      <c r="L91" s="146">
        <v>0</v>
      </c>
      <c r="M91" s="146">
        <v>0.11</v>
      </c>
      <c r="N91" s="146">
        <v>25.55</v>
      </c>
      <c r="O91" s="146">
        <v>43.75</v>
      </c>
      <c r="P91" s="146">
        <v>14</v>
      </c>
      <c r="Q91" s="146">
        <v>0.98</v>
      </c>
      <c r="R91" s="146">
        <v>0</v>
      </c>
      <c r="S91" s="10">
        <v>0</v>
      </c>
    </row>
    <row r="92" spans="1:20" ht="11.4" customHeight="1" x14ac:dyDescent="0.25">
      <c r="B92" s="36"/>
      <c r="C92" s="11"/>
      <c r="D92" s="1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20" ht="11.4" customHeight="1" x14ac:dyDescent="0.25">
      <c r="B93" s="15"/>
      <c r="C93" s="19" t="s">
        <v>19</v>
      </c>
      <c r="D93" s="17">
        <f>SUM(D85:D92)</f>
        <v>733</v>
      </c>
      <c r="E93" s="117">
        <f t="shared" ref="E93:S93" si="18">SUM(E85:E92)</f>
        <v>25.92</v>
      </c>
      <c r="F93" s="117">
        <f t="shared" si="18"/>
        <v>29.310000000000002</v>
      </c>
      <c r="G93" s="117">
        <f t="shared" si="18"/>
        <v>98.539999999999992</v>
      </c>
      <c r="H93" s="117">
        <f t="shared" si="18"/>
        <v>761.63</v>
      </c>
      <c r="I93" s="117">
        <f t="shared" si="18"/>
        <v>0.38900000000000001</v>
      </c>
      <c r="J93" s="117">
        <f t="shared" si="18"/>
        <v>0.32</v>
      </c>
      <c r="K93" s="117">
        <f t="shared" si="18"/>
        <v>29.770000000000003</v>
      </c>
      <c r="L93" s="117">
        <f t="shared" si="18"/>
        <v>0.01</v>
      </c>
      <c r="M93" s="117">
        <f t="shared" si="18"/>
        <v>5.2200000000000006</v>
      </c>
      <c r="N93" s="117">
        <f t="shared" si="18"/>
        <v>150.81</v>
      </c>
      <c r="O93" s="117">
        <f t="shared" si="18"/>
        <v>394.37</v>
      </c>
      <c r="P93" s="117">
        <f t="shared" si="18"/>
        <v>105.24000000000001</v>
      </c>
      <c r="Q93" s="117">
        <f t="shared" si="18"/>
        <v>9.5500000000000007</v>
      </c>
      <c r="R93" s="117">
        <f t="shared" si="18"/>
        <v>0.57999999999999996</v>
      </c>
      <c r="S93" s="117">
        <f t="shared" si="18"/>
        <v>0.17499999999999999</v>
      </c>
    </row>
    <row r="94" spans="1:20" ht="11.4" customHeight="1" x14ac:dyDescent="0.25">
      <c r="B94" s="36"/>
      <c r="C94" s="11"/>
      <c r="D94" s="1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20" ht="11.4" customHeight="1" x14ac:dyDescent="0.25">
      <c r="B95" s="161" t="s">
        <v>138</v>
      </c>
      <c r="C95" s="162"/>
      <c r="D95" s="3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</row>
    <row r="96" spans="1:20" ht="11.4" customHeight="1" x14ac:dyDescent="0.25">
      <c r="B96" s="40">
        <v>50</v>
      </c>
      <c r="C96" s="42" t="s">
        <v>180</v>
      </c>
      <c r="D96" s="13">
        <v>60</v>
      </c>
      <c r="E96" s="10">
        <v>2.2999999999999998</v>
      </c>
      <c r="F96" s="10">
        <v>4.5</v>
      </c>
      <c r="G96" s="10">
        <v>4.13</v>
      </c>
      <c r="H96" s="10">
        <f>E96*4+F96*9+G96*4</f>
        <v>66.22</v>
      </c>
      <c r="I96" s="10">
        <v>8.5000000000000006E-3</v>
      </c>
      <c r="J96" s="10">
        <v>1.8499999999999999E-2</v>
      </c>
      <c r="K96" s="10">
        <v>3.3</v>
      </c>
      <c r="L96" s="10">
        <v>0</v>
      </c>
      <c r="M96" s="10">
        <v>0.06</v>
      </c>
      <c r="N96" s="10">
        <v>17.7</v>
      </c>
      <c r="O96" s="10">
        <v>20.3</v>
      </c>
      <c r="P96" s="10">
        <v>10.3</v>
      </c>
      <c r="Q96" s="10">
        <v>0.66</v>
      </c>
      <c r="R96" s="10">
        <v>0.33</v>
      </c>
      <c r="S96" s="10">
        <v>1E-3</v>
      </c>
    </row>
    <row r="97" spans="1:20" ht="11.4" customHeight="1" x14ac:dyDescent="0.25">
      <c r="B97" s="118" t="s">
        <v>173</v>
      </c>
      <c r="C97" s="20" t="s">
        <v>174</v>
      </c>
      <c r="D97" s="13">
        <v>200</v>
      </c>
      <c r="E97" s="10">
        <v>6.6</v>
      </c>
      <c r="F97" s="10">
        <v>9.1999999999999993</v>
      </c>
      <c r="G97" s="10">
        <v>18.5</v>
      </c>
      <c r="H97" s="10">
        <f t="shared" ref="H97:H101" si="19">E97*4+F97*9+G97*4</f>
        <v>183.2</v>
      </c>
      <c r="I97" s="10">
        <v>0.2</v>
      </c>
      <c r="J97" s="10">
        <v>0.1</v>
      </c>
      <c r="K97" s="10">
        <v>8.75</v>
      </c>
      <c r="L97" s="10">
        <v>0.125</v>
      </c>
      <c r="M97" s="10">
        <v>1</v>
      </c>
      <c r="N97" s="10">
        <v>49.25</v>
      </c>
      <c r="O97" s="10">
        <v>173.3</v>
      </c>
      <c r="P97" s="10">
        <v>48.25</v>
      </c>
      <c r="Q97" s="10">
        <v>3.5</v>
      </c>
      <c r="R97" s="10">
        <v>1.1299999999999999</v>
      </c>
      <c r="S97" s="10">
        <v>8.0000000000000002E-3</v>
      </c>
    </row>
    <row r="98" spans="1:20" ht="11.4" customHeight="1" x14ac:dyDescent="0.25">
      <c r="B98" s="109">
        <v>294</v>
      </c>
      <c r="C98" s="20" t="s">
        <v>157</v>
      </c>
      <c r="D98" s="13">
        <v>80</v>
      </c>
      <c r="E98" s="10">
        <v>16.7</v>
      </c>
      <c r="F98" s="10">
        <v>4.0999999999999996</v>
      </c>
      <c r="G98" s="10">
        <v>5.2</v>
      </c>
      <c r="H98" s="10">
        <f t="shared" si="19"/>
        <v>124.49999999999999</v>
      </c>
      <c r="I98" s="10">
        <v>0.06</v>
      </c>
      <c r="J98" s="10">
        <v>0.13</v>
      </c>
      <c r="K98" s="10">
        <v>0</v>
      </c>
      <c r="L98" s="10">
        <v>0.04</v>
      </c>
      <c r="M98" s="10">
        <v>0.4</v>
      </c>
      <c r="N98" s="10">
        <v>17.5</v>
      </c>
      <c r="O98" s="10">
        <v>160.4</v>
      </c>
      <c r="P98" s="10">
        <v>18.79</v>
      </c>
      <c r="Q98" s="10">
        <v>1.03</v>
      </c>
      <c r="R98" s="10">
        <v>0.76</v>
      </c>
      <c r="S98" s="10">
        <v>3.0000000000000001E-3</v>
      </c>
    </row>
    <row r="99" spans="1:20" s="73" customFormat="1" ht="11.4" customHeight="1" x14ac:dyDescent="0.25">
      <c r="A99" s="10"/>
      <c r="B99" s="110">
        <v>205</v>
      </c>
      <c r="C99" s="54" t="s">
        <v>154</v>
      </c>
      <c r="D99" s="54">
        <v>140</v>
      </c>
      <c r="E99" s="10">
        <v>0.56999999999999995</v>
      </c>
      <c r="F99" s="10">
        <v>5.51</v>
      </c>
      <c r="G99" s="10">
        <f>20.3*1.2</f>
        <v>24.36</v>
      </c>
      <c r="H99" s="10">
        <f t="shared" si="19"/>
        <v>149.31</v>
      </c>
      <c r="I99" s="10">
        <v>6.0000000000000001E-3</v>
      </c>
      <c r="J99" s="10">
        <v>0.01</v>
      </c>
      <c r="K99" s="10">
        <v>0.01</v>
      </c>
      <c r="L99" s="10">
        <v>0.1</v>
      </c>
      <c r="M99" s="10">
        <v>0.4</v>
      </c>
      <c r="N99" s="10">
        <v>8.27</v>
      </c>
      <c r="O99" s="10">
        <v>6.89</v>
      </c>
      <c r="P99" s="10">
        <v>1.6</v>
      </c>
      <c r="Q99" s="10">
        <v>0.06</v>
      </c>
      <c r="R99" s="10">
        <v>7.5999999999999998E-2</v>
      </c>
      <c r="S99" s="10">
        <v>1.89</v>
      </c>
      <c r="T99" s="31"/>
    </row>
    <row r="100" spans="1:20" ht="11.4" customHeight="1" x14ac:dyDescent="0.25">
      <c r="B100" s="36"/>
      <c r="C100" s="13" t="s">
        <v>165</v>
      </c>
      <c r="D100" s="13">
        <v>115</v>
      </c>
      <c r="E100" s="10">
        <f>3*1.15</f>
        <v>3.4499999999999997</v>
      </c>
      <c r="F100" s="10">
        <f>3.2*1.15</f>
        <v>3.6799999999999997</v>
      </c>
      <c r="G100" s="10">
        <f>1.15*4.1</f>
        <v>4.714999999999999</v>
      </c>
      <c r="H100" s="10">
        <f t="shared" si="19"/>
        <v>65.779999999999987</v>
      </c>
      <c r="I100" s="10">
        <v>0.04</v>
      </c>
      <c r="J100" s="10">
        <v>0.2</v>
      </c>
      <c r="K100" s="10">
        <v>0.6</v>
      </c>
      <c r="L100" s="10">
        <v>0.03</v>
      </c>
      <c r="M100" s="10">
        <v>0</v>
      </c>
      <c r="N100" s="10">
        <v>122</v>
      </c>
      <c r="O100" s="10">
        <v>96.5</v>
      </c>
      <c r="P100" s="10">
        <v>14</v>
      </c>
      <c r="Q100" s="10">
        <v>0.1</v>
      </c>
      <c r="R100" s="9">
        <v>0.8</v>
      </c>
      <c r="S100" s="10">
        <v>9</v>
      </c>
    </row>
    <row r="101" spans="1:20" s="75" customFormat="1" ht="11.4" customHeight="1" x14ac:dyDescent="0.25">
      <c r="A101" s="10"/>
      <c r="B101" s="36">
        <v>360</v>
      </c>
      <c r="C101" s="13" t="s">
        <v>166</v>
      </c>
      <c r="D101" s="13">
        <v>200</v>
      </c>
      <c r="E101" s="9">
        <v>1</v>
      </c>
      <c r="F101" s="9">
        <v>0</v>
      </c>
      <c r="G101" s="9">
        <v>20.200000000000003</v>
      </c>
      <c r="H101" s="10">
        <f t="shared" si="19"/>
        <v>84.800000000000011</v>
      </c>
      <c r="I101" s="9">
        <v>2.2000000000000002E-2</v>
      </c>
      <c r="J101" s="9">
        <v>2.2000000000000002E-2</v>
      </c>
      <c r="K101" s="9">
        <v>4</v>
      </c>
      <c r="L101" s="9">
        <v>0</v>
      </c>
      <c r="M101" s="9">
        <v>0.2</v>
      </c>
      <c r="N101" s="9">
        <v>14</v>
      </c>
      <c r="O101" s="9">
        <v>14</v>
      </c>
      <c r="P101" s="9">
        <v>8</v>
      </c>
      <c r="Q101" s="9">
        <v>2.8000000000000003</v>
      </c>
      <c r="R101" s="9">
        <v>0</v>
      </c>
      <c r="S101" s="10">
        <v>0</v>
      </c>
      <c r="T101" s="31"/>
    </row>
    <row r="102" spans="1:20" ht="11.4" customHeight="1" x14ac:dyDescent="0.25">
      <c r="B102" s="119"/>
      <c r="C102" s="13" t="s">
        <v>57</v>
      </c>
      <c r="D102" s="13">
        <v>40</v>
      </c>
      <c r="E102" s="9">
        <v>2.7</v>
      </c>
      <c r="F102" s="9">
        <v>0.34</v>
      </c>
      <c r="G102" s="9">
        <v>20.059999999999999</v>
      </c>
      <c r="H102" s="10">
        <f>E102*4+F102*9+G102*4</f>
        <v>94.1</v>
      </c>
      <c r="I102" s="9">
        <v>0.04</v>
      </c>
      <c r="J102" s="9">
        <v>0.01</v>
      </c>
      <c r="K102" s="9">
        <v>0</v>
      </c>
      <c r="L102" s="9">
        <v>0</v>
      </c>
      <c r="M102" s="9">
        <v>0.44</v>
      </c>
      <c r="N102" s="9">
        <v>8</v>
      </c>
      <c r="O102" s="9">
        <v>26</v>
      </c>
      <c r="P102" s="9">
        <v>5.6</v>
      </c>
      <c r="Q102" s="9">
        <v>0.44</v>
      </c>
      <c r="R102" s="9">
        <v>0</v>
      </c>
      <c r="S102" s="10">
        <v>0</v>
      </c>
    </row>
    <row r="103" spans="1:20" ht="11.4" customHeight="1" x14ac:dyDescent="0.25">
      <c r="B103" s="119"/>
      <c r="C103" s="13" t="s">
        <v>58</v>
      </c>
      <c r="D103" s="13">
        <v>40</v>
      </c>
      <c r="E103" s="9">
        <v>2.66</v>
      </c>
      <c r="F103" s="9">
        <v>0.48</v>
      </c>
      <c r="G103" s="9">
        <v>16.739999999999998</v>
      </c>
      <c r="H103" s="9">
        <f t="shared" ref="H103" si="20">E103*4+F103*9+G103*4</f>
        <v>81.919999999999987</v>
      </c>
      <c r="I103" s="9">
        <v>0.22</v>
      </c>
      <c r="J103" s="9">
        <v>0.14000000000000001</v>
      </c>
      <c r="K103" s="9">
        <v>0.28000000000000003</v>
      </c>
      <c r="L103" s="9">
        <v>0</v>
      </c>
      <c r="M103" s="9">
        <v>0.22</v>
      </c>
      <c r="N103" s="9">
        <v>51.1</v>
      </c>
      <c r="O103" s="9">
        <v>87.5</v>
      </c>
      <c r="P103" s="9">
        <v>28</v>
      </c>
      <c r="Q103" s="9">
        <v>1.96</v>
      </c>
      <c r="R103" s="9">
        <v>0</v>
      </c>
      <c r="S103" s="10">
        <v>0</v>
      </c>
    </row>
    <row r="104" spans="1:20" ht="11.4" customHeight="1" x14ac:dyDescent="0.25">
      <c r="B104" s="18"/>
      <c r="C104" s="13"/>
      <c r="D104" s="1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20" ht="11.4" customHeight="1" x14ac:dyDescent="0.25">
      <c r="B105" s="15"/>
      <c r="C105" s="19" t="s">
        <v>19</v>
      </c>
      <c r="D105" s="17">
        <f>SUM(D96:D104)</f>
        <v>875</v>
      </c>
      <c r="E105" s="117">
        <f t="shared" ref="E105:S105" si="21">SUM(E96:E104)</f>
        <v>35.980000000000004</v>
      </c>
      <c r="F105" s="117">
        <f t="shared" si="21"/>
        <v>27.809999999999995</v>
      </c>
      <c r="G105" s="117">
        <f t="shared" si="21"/>
        <v>113.90499999999999</v>
      </c>
      <c r="H105" s="117">
        <f t="shared" si="21"/>
        <v>849.82999999999993</v>
      </c>
      <c r="I105" s="117">
        <f t="shared" si="21"/>
        <v>0.59650000000000003</v>
      </c>
      <c r="J105" s="117">
        <f t="shared" si="21"/>
        <v>0.63050000000000006</v>
      </c>
      <c r="K105" s="117">
        <f t="shared" si="21"/>
        <v>16.940000000000001</v>
      </c>
      <c r="L105" s="117">
        <f t="shared" si="21"/>
        <v>0.29500000000000004</v>
      </c>
      <c r="M105" s="117">
        <f t="shared" si="21"/>
        <v>2.72</v>
      </c>
      <c r="N105" s="117">
        <f t="shared" si="21"/>
        <v>287.82</v>
      </c>
      <c r="O105" s="117">
        <f t="shared" si="21"/>
        <v>584.89</v>
      </c>
      <c r="P105" s="117">
        <f t="shared" si="21"/>
        <v>134.54</v>
      </c>
      <c r="Q105" s="117">
        <f t="shared" si="21"/>
        <v>10.55</v>
      </c>
      <c r="R105" s="117">
        <f t="shared" si="21"/>
        <v>3.0960000000000001</v>
      </c>
      <c r="S105" s="117">
        <f t="shared" si="21"/>
        <v>10.901999999999999</v>
      </c>
    </row>
    <row r="106" spans="1:20" ht="11.4" customHeight="1" x14ac:dyDescent="0.25">
      <c r="B106" s="29"/>
      <c r="C106" s="30"/>
      <c r="D106" s="1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20" ht="11.4" customHeight="1" x14ac:dyDescent="0.25">
      <c r="B107" s="163" t="s">
        <v>139</v>
      </c>
      <c r="C107" s="164"/>
      <c r="D107" s="3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</row>
    <row r="108" spans="1:20" ht="11.4" customHeight="1" x14ac:dyDescent="0.25">
      <c r="B108" s="18">
        <v>133</v>
      </c>
      <c r="C108" s="13" t="s">
        <v>104</v>
      </c>
      <c r="D108" s="13">
        <v>60</v>
      </c>
      <c r="E108" s="10">
        <v>1.7</v>
      </c>
      <c r="F108" s="10">
        <v>2.5</v>
      </c>
      <c r="G108" s="10">
        <v>9.3000000000000007</v>
      </c>
      <c r="H108" s="10">
        <f>E108*4+F108*9+G108*4</f>
        <v>66.5</v>
      </c>
      <c r="I108" s="10">
        <v>0.04</v>
      </c>
      <c r="J108" s="10">
        <v>0.02</v>
      </c>
      <c r="K108" s="10">
        <v>2.75</v>
      </c>
      <c r="L108" s="10">
        <v>6.0000000000000001E-3</v>
      </c>
      <c r="M108" s="10">
        <v>0.04</v>
      </c>
      <c r="N108" s="10">
        <v>1.5</v>
      </c>
      <c r="O108" s="10">
        <v>38.5</v>
      </c>
      <c r="P108" s="10">
        <v>13</v>
      </c>
      <c r="Q108" s="10">
        <v>0.22</v>
      </c>
      <c r="R108" s="10">
        <v>0.31</v>
      </c>
      <c r="S108" s="10">
        <v>0</v>
      </c>
    </row>
    <row r="109" spans="1:20" ht="11.4" customHeight="1" x14ac:dyDescent="0.25">
      <c r="B109" s="28" t="s">
        <v>175</v>
      </c>
      <c r="C109" s="151" t="s">
        <v>115</v>
      </c>
      <c r="D109" s="13">
        <v>200</v>
      </c>
      <c r="E109" s="10">
        <v>11.3</v>
      </c>
      <c r="F109" s="10">
        <v>6.3</v>
      </c>
      <c r="G109" s="10">
        <v>7.8</v>
      </c>
      <c r="H109" s="10">
        <f t="shared" ref="H109:H112" si="22">E109*4+F109*9+G109*4</f>
        <v>133.1</v>
      </c>
      <c r="I109" s="10">
        <v>0.17</v>
      </c>
      <c r="J109" s="10">
        <v>0.09</v>
      </c>
      <c r="K109" s="10">
        <v>6.08</v>
      </c>
      <c r="L109" s="10">
        <v>0.14799999999999999</v>
      </c>
      <c r="M109" s="10">
        <v>1.26</v>
      </c>
      <c r="N109" s="10">
        <v>40.299999999999997</v>
      </c>
      <c r="O109" s="10">
        <v>110.5</v>
      </c>
      <c r="P109" s="10">
        <v>41.6</v>
      </c>
      <c r="Q109" s="10">
        <v>1.24</v>
      </c>
      <c r="R109" s="10">
        <v>0.95</v>
      </c>
      <c r="S109" s="10">
        <v>4.8999999999999998E-3</v>
      </c>
    </row>
    <row r="110" spans="1:20" ht="11.4" customHeight="1" x14ac:dyDescent="0.25">
      <c r="B110" s="122" t="s">
        <v>155</v>
      </c>
      <c r="C110" s="54" t="s">
        <v>156</v>
      </c>
      <c r="D110" s="54">
        <v>100</v>
      </c>
      <c r="E110" s="10">
        <v>7.93</v>
      </c>
      <c r="F110" s="10">
        <v>6.58</v>
      </c>
      <c r="G110" s="10">
        <v>9.41</v>
      </c>
      <c r="H110" s="10">
        <f t="shared" si="22"/>
        <v>128.57999999999998</v>
      </c>
      <c r="I110" s="10">
        <v>0.06</v>
      </c>
      <c r="J110" s="10">
        <v>7.0000000000000007E-2</v>
      </c>
      <c r="K110" s="10">
        <v>1.25</v>
      </c>
      <c r="L110" s="10">
        <v>0.14599999999999999</v>
      </c>
      <c r="M110" s="10">
        <v>2.48</v>
      </c>
      <c r="N110" s="10">
        <v>43.78</v>
      </c>
      <c r="O110" s="10">
        <v>94.71</v>
      </c>
      <c r="P110" s="10">
        <v>17.809999999999999</v>
      </c>
      <c r="Q110" s="10">
        <v>0.56000000000000005</v>
      </c>
      <c r="R110" s="10">
        <v>0.78</v>
      </c>
      <c r="S110" s="10">
        <v>0.01</v>
      </c>
    </row>
    <row r="111" spans="1:20" ht="11.4" customHeight="1" x14ac:dyDescent="0.25">
      <c r="B111" s="36"/>
      <c r="C111" s="6" t="s">
        <v>178</v>
      </c>
      <c r="D111" s="42">
        <v>150</v>
      </c>
      <c r="E111" s="10">
        <v>2.9</v>
      </c>
      <c r="F111" s="10">
        <v>5.4</v>
      </c>
      <c r="G111" s="10">
        <v>37.200000000000003</v>
      </c>
      <c r="H111" s="10">
        <f t="shared" si="22"/>
        <v>209</v>
      </c>
      <c r="I111" s="10">
        <v>0.08</v>
      </c>
      <c r="J111" s="10">
        <v>0.08</v>
      </c>
      <c r="K111" s="10">
        <v>0.59</v>
      </c>
      <c r="L111" s="10">
        <v>0.03</v>
      </c>
      <c r="M111" s="10">
        <v>0.2</v>
      </c>
      <c r="N111" s="10">
        <v>64.099999999999994</v>
      </c>
      <c r="O111" s="10">
        <v>108.9</v>
      </c>
      <c r="P111" s="10">
        <v>30.3</v>
      </c>
      <c r="Q111" s="10">
        <v>0.49</v>
      </c>
      <c r="R111" s="10">
        <v>0.55000000000000004</v>
      </c>
      <c r="S111" s="10">
        <v>4.0000000000000001E-3</v>
      </c>
    </row>
    <row r="112" spans="1:20" s="75" customFormat="1" ht="11.4" customHeight="1" x14ac:dyDescent="0.25">
      <c r="A112" s="10"/>
      <c r="B112" s="36">
        <v>374</v>
      </c>
      <c r="C112" s="13" t="s">
        <v>108</v>
      </c>
      <c r="D112" s="13">
        <v>100</v>
      </c>
      <c r="E112" s="10">
        <v>3.71</v>
      </c>
      <c r="F112" s="10">
        <v>4.7</v>
      </c>
      <c r="G112" s="10">
        <v>39.6</v>
      </c>
      <c r="H112" s="10">
        <f t="shared" si="22"/>
        <v>215.54000000000002</v>
      </c>
      <c r="I112" s="10">
        <v>6.8000000000000005E-2</v>
      </c>
      <c r="J112" s="10">
        <v>8.5999999999999993E-2</v>
      </c>
      <c r="K112" s="10">
        <v>2.157</v>
      </c>
      <c r="L112" s="10">
        <v>0.42499999999999999</v>
      </c>
      <c r="M112" s="10">
        <v>0.2</v>
      </c>
      <c r="N112" s="10">
        <v>38.200000000000003</v>
      </c>
      <c r="O112" s="10">
        <v>58.9</v>
      </c>
      <c r="P112" s="10">
        <v>17.350000000000001</v>
      </c>
      <c r="Q112" s="10">
        <v>1.67</v>
      </c>
      <c r="R112" s="10">
        <v>0.34</v>
      </c>
      <c r="S112" s="10">
        <v>5.0000000000000001E-3</v>
      </c>
      <c r="T112" s="31"/>
    </row>
    <row r="113" spans="1:23" s="75" customFormat="1" ht="11.4" customHeight="1" x14ac:dyDescent="0.25">
      <c r="A113" s="10"/>
      <c r="B113" s="36">
        <v>361</v>
      </c>
      <c r="C113" s="13" t="s">
        <v>140</v>
      </c>
      <c r="D113" s="13">
        <v>200</v>
      </c>
      <c r="E113" s="10">
        <v>5.8</v>
      </c>
      <c r="F113" s="10">
        <v>5</v>
      </c>
      <c r="G113" s="10">
        <v>9.6</v>
      </c>
      <c r="H113" s="10">
        <v>107</v>
      </c>
      <c r="I113" s="10">
        <v>0.08</v>
      </c>
      <c r="J113" s="10">
        <v>0.3</v>
      </c>
      <c r="K113" s="10">
        <v>2.6</v>
      </c>
      <c r="L113" s="10">
        <v>0.4</v>
      </c>
      <c r="M113" s="10">
        <v>0</v>
      </c>
      <c r="N113" s="10">
        <v>240</v>
      </c>
      <c r="O113" s="10">
        <v>180</v>
      </c>
      <c r="P113" s="10">
        <v>28</v>
      </c>
      <c r="Q113" s="10">
        <v>0.2</v>
      </c>
      <c r="R113" s="10">
        <v>0</v>
      </c>
      <c r="S113" s="10">
        <v>0</v>
      </c>
      <c r="T113" s="31"/>
    </row>
    <row r="114" spans="1:23" s="75" customFormat="1" ht="11.4" customHeight="1" x14ac:dyDescent="0.25">
      <c r="A114" s="10"/>
      <c r="B114" s="18"/>
      <c r="C114" s="13" t="s">
        <v>57</v>
      </c>
      <c r="D114" s="13">
        <v>40</v>
      </c>
      <c r="E114" s="9">
        <v>2.7</v>
      </c>
      <c r="F114" s="9">
        <v>0.34</v>
      </c>
      <c r="G114" s="9">
        <v>20.059999999999999</v>
      </c>
      <c r="H114" s="10">
        <f>E114*4+F114*9+G114*4</f>
        <v>94.1</v>
      </c>
      <c r="I114" s="9">
        <v>0.04</v>
      </c>
      <c r="J114" s="9">
        <v>0.01</v>
      </c>
      <c r="K114" s="9">
        <v>0</v>
      </c>
      <c r="L114" s="9">
        <v>0</v>
      </c>
      <c r="M114" s="9">
        <v>0.44</v>
      </c>
      <c r="N114" s="9">
        <v>8</v>
      </c>
      <c r="O114" s="9">
        <v>26</v>
      </c>
      <c r="P114" s="9">
        <v>5.6</v>
      </c>
      <c r="Q114" s="9">
        <v>0.44</v>
      </c>
      <c r="R114" s="9">
        <v>0</v>
      </c>
      <c r="S114" s="10">
        <v>0</v>
      </c>
      <c r="T114" s="31"/>
    </row>
    <row r="115" spans="1:23" ht="11.4" customHeight="1" x14ac:dyDescent="0.25">
      <c r="B115" s="18"/>
      <c r="C115" s="13" t="s">
        <v>58</v>
      </c>
      <c r="D115" s="13">
        <v>40</v>
      </c>
      <c r="E115" s="9">
        <v>2.66</v>
      </c>
      <c r="F115" s="9">
        <v>0.48</v>
      </c>
      <c r="G115" s="9">
        <v>16.739999999999998</v>
      </c>
      <c r="H115" s="9">
        <f t="shared" ref="H115" si="23">E115*4+F115*9+G115*4</f>
        <v>81.919999999999987</v>
      </c>
      <c r="I115" s="9">
        <v>0.22</v>
      </c>
      <c r="J115" s="9">
        <v>0.14000000000000001</v>
      </c>
      <c r="K115" s="9">
        <v>0.28000000000000003</v>
      </c>
      <c r="L115" s="9">
        <v>0</v>
      </c>
      <c r="M115" s="9">
        <v>0.22</v>
      </c>
      <c r="N115" s="9">
        <v>51.1</v>
      </c>
      <c r="O115" s="9">
        <v>87.5</v>
      </c>
      <c r="P115" s="9">
        <v>28</v>
      </c>
      <c r="Q115" s="9">
        <v>1.96</v>
      </c>
      <c r="R115" s="9">
        <v>0</v>
      </c>
      <c r="S115" s="10">
        <v>0</v>
      </c>
    </row>
    <row r="116" spans="1:23" ht="11.4" customHeight="1" x14ac:dyDescent="0.25">
      <c r="B116" s="119"/>
      <c r="C116" s="13"/>
      <c r="D116" s="1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23" ht="11.4" customHeight="1" x14ac:dyDescent="0.25">
      <c r="A117" s="123"/>
      <c r="B117" s="15"/>
      <c r="C117" s="19" t="s">
        <v>19</v>
      </c>
      <c r="D117" s="17">
        <f>SUM(D108:D116)</f>
        <v>890</v>
      </c>
      <c r="E117" s="117">
        <f t="shared" ref="E117:S117" si="24">SUM(E108:E116)</f>
        <v>38.700000000000003</v>
      </c>
      <c r="F117" s="117">
        <f t="shared" si="24"/>
        <v>31.3</v>
      </c>
      <c r="G117" s="117">
        <f t="shared" si="24"/>
        <v>149.71</v>
      </c>
      <c r="H117" s="117">
        <f t="shared" si="24"/>
        <v>1035.74</v>
      </c>
      <c r="I117" s="117">
        <f t="shared" si="24"/>
        <v>0.75800000000000001</v>
      </c>
      <c r="J117" s="117">
        <f t="shared" si="24"/>
        <v>0.79599999999999993</v>
      </c>
      <c r="K117" s="117">
        <f t="shared" si="24"/>
        <v>15.706999999999999</v>
      </c>
      <c r="L117" s="117">
        <f t="shared" si="24"/>
        <v>1.1549999999999998</v>
      </c>
      <c r="M117" s="117">
        <f t="shared" si="24"/>
        <v>4.8400000000000007</v>
      </c>
      <c r="N117" s="117">
        <f t="shared" si="24"/>
        <v>486.98</v>
      </c>
      <c r="O117" s="117">
        <f t="shared" si="24"/>
        <v>705.01</v>
      </c>
      <c r="P117" s="117">
        <f t="shared" si="24"/>
        <v>181.66</v>
      </c>
      <c r="Q117" s="117">
        <f t="shared" si="24"/>
        <v>6.78</v>
      </c>
      <c r="R117" s="117">
        <f t="shared" si="24"/>
        <v>2.9299999999999997</v>
      </c>
      <c r="S117" s="117">
        <f t="shared" si="24"/>
        <v>2.3900000000000001E-2</v>
      </c>
    </row>
    <row r="118" spans="1:23" ht="11.4" customHeight="1" x14ac:dyDescent="0.25">
      <c r="B118" s="22"/>
      <c r="C118" s="25"/>
      <c r="D118" s="13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26"/>
    </row>
    <row r="119" spans="1:23" ht="11.4" customHeight="1" x14ac:dyDescent="0.25">
      <c r="B119" s="22"/>
      <c r="C119" s="25"/>
      <c r="D119" s="20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26"/>
    </row>
    <row r="120" spans="1:23" s="74" customFormat="1" ht="11.4" customHeight="1" x14ac:dyDescent="0.25">
      <c r="A120" s="10"/>
      <c r="B120" s="119"/>
      <c r="C120" s="11"/>
      <c r="D120" s="11"/>
      <c r="E120" s="3"/>
      <c r="F120" s="3"/>
      <c r="G120" s="3" t="s">
        <v>68</v>
      </c>
      <c r="H120" s="9"/>
      <c r="I120" s="9" t="s">
        <v>69</v>
      </c>
      <c r="J120" s="9"/>
      <c r="K120" s="9"/>
      <c r="L120" s="9"/>
      <c r="M120" s="9" t="s">
        <v>70</v>
      </c>
      <c r="N120" s="9"/>
      <c r="O120" s="9"/>
      <c r="P120" s="9"/>
      <c r="Q120" s="9"/>
      <c r="R120" s="9"/>
      <c r="S120" s="1"/>
      <c r="T120" s="31"/>
    </row>
    <row r="121" spans="1:23" s="74" customFormat="1" ht="11.4" customHeight="1" x14ac:dyDescent="0.25">
      <c r="A121" s="10"/>
      <c r="B121" s="2"/>
      <c r="C121" s="1"/>
      <c r="D121" s="124"/>
      <c r="E121" s="3" t="s">
        <v>71</v>
      </c>
      <c r="F121" s="3" t="s">
        <v>72</v>
      </c>
      <c r="G121" s="3" t="s">
        <v>73</v>
      </c>
      <c r="H121" s="3" t="s">
        <v>97</v>
      </c>
      <c r="I121" s="9" t="s">
        <v>74</v>
      </c>
      <c r="J121" s="9" t="s">
        <v>75</v>
      </c>
      <c r="K121" s="9" t="s">
        <v>76</v>
      </c>
      <c r="L121" s="9" t="s">
        <v>77</v>
      </c>
      <c r="M121" s="9" t="s">
        <v>78</v>
      </c>
      <c r="N121" s="125" t="s">
        <v>79</v>
      </c>
      <c r="O121" s="125" t="s">
        <v>80</v>
      </c>
      <c r="P121" s="125" t="s">
        <v>81</v>
      </c>
      <c r="Q121" s="125" t="s">
        <v>82</v>
      </c>
      <c r="R121" s="125" t="s">
        <v>92</v>
      </c>
      <c r="S121" s="125" t="s">
        <v>93</v>
      </c>
      <c r="T121" s="31"/>
    </row>
    <row r="122" spans="1:23" ht="11.4" customHeight="1" x14ac:dyDescent="0.25">
      <c r="C122" s="12" t="s">
        <v>101</v>
      </c>
      <c r="E122" s="3">
        <v>77</v>
      </c>
      <c r="F122" s="3">
        <v>79</v>
      </c>
      <c r="G122" s="3">
        <v>335</v>
      </c>
      <c r="H122" s="3">
        <v>2350</v>
      </c>
      <c r="I122" s="9">
        <v>1.2</v>
      </c>
      <c r="J122" s="9">
        <v>1.4</v>
      </c>
      <c r="K122" s="9">
        <v>60</v>
      </c>
      <c r="L122" s="9">
        <v>0.7</v>
      </c>
      <c r="M122" s="9">
        <v>10</v>
      </c>
      <c r="N122" s="9">
        <v>1100</v>
      </c>
      <c r="O122" s="9">
        <v>1650</v>
      </c>
      <c r="P122" s="9">
        <v>250</v>
      </c>
      <c r="Q122" s="9">
        <v>12</v>
      </c>
      <c r="R122" s="9">
        <v>10</v>
      </c>
      <c r="S122" s="9">
        <v>0.1</v>
      </c>
    </row>
    <row r="123" spans="1:23" ht="11.4" customHeight="1" x14ac:dyDescent="0.25">
      <c r="C123" s="12" t="s">
        <v>94</v>
      </c>
      <c r="E123" s="3">
        <v>19.25</v>
      </c>
      <c r="F123" s="3">
        <v>19.75</v>
      </c>
      <c r="G123" s="3">
        <v>83.75</v>
      </c>
      <c r="H123" s="3">
        <v>587.5</v>
      </c>
      <c r="I123" s="9">
        <v>0.3</v>
      </c>
      <c r="J123" s="9">
        <v>0.35</v>
      </c>
      <c r="K123" s="9">
        <v>15</v>
      </c>
      <c r="L123" s="9">
        <v>0.17499999999999999</v>
      </c>
      <c r="M123" s="9">
        <v>2.5</v>
      </c>
      <c r="N123" s="9">
        <v>275</v>
      </c>
      <c r="O123" s="9">
        <v>412.5</v>
      </c>
      <c r="P123" s="9">
        <v>62.5</v>
      </c>
      <c r="Q123" s="9">
        <v>3</v>
      </c>
      <c r="R123" s="9">
        <v>2.5</v>
      </c>
      <c r="S123" s="9">
        <v>2.5000000000000001E-2</v>
      </c>
    </row>
    <row r="124" spans="1:23" ht="11.4" customHeight="1" x14ac:dyDescent="0.25">
      <c r="C124" s="137" t="s">
        <v>83</v>
      </c>
      <c r="D124" s="126"/>
      <c r="E124" s="139">
        <v>26.95</v>
      </c>
      <c r="F124" s="139">
        <v>27.65</v>
      </c>
      <c r="G124" s="139">
        <v>117.24999999999999</v>
      </c>
      <c r="H124" s="139">
        <v>822.5</v>
      </c>
      <c r="I124" s="139">
        <v>0.42</v>
      </c>
      <c r="J124" s="139">
        <v>0.48999999999999994</v>
      </c>
      <c r="K124" s="139">
        <v>21</v>
      </c>
      <c r="L124" s="139">
        <v>0.24499999999999997</v>
      </c>
      <c r="M124" s="139">
        <v>3.5</v>
      </c>
      <c r="N124" s="139">
        <v>385</v>
      </c>
      <c r="O124" s="139">
        <v>577.5</v>
      </c>
      <c r="P124" s="139">
        <v>87.5</v>
      </c>
      <c r="Q124" s="139">
        <v>4.1999999999999993</v>
      </c>
      <c r="R124" s="139">
        <v>3.5</v>
      </c>
      <c r="S124" s="139">
        <v>3.4999999999999996E-2</v>
      </c>
    </row>
    <row r="125" spans="1:23" ht="11.4" customHeight="1" x14ac:dyDescent="0.25">
      <c r="S125" s="140"/>
    </row>
    <row r="126" spans="1:23" s="138" customFormat="1" ht="11.4" customHeight="1" x14ac:dyDescent="0.25">
      <c r="A126" s="34"/>
      <c r="B126" s="134"/>
      <c r="C126" s="127" t="s">
        <v>100</v>
      </c>
      <c r="D126" s="135">
        <f t="shared" ref="D126:S126" si="25">(D117+D105+D93+D82+D70+D59+D48+D37+D25+D13)/10</f>
        <v>845.8</v>
      </c>
      <c r="E126" s="141">
        <f t="shared" si="25"/>
        <v>31.118155555555553</v>
      </c>
      <c r="F126" s="141">
        <f t="shared" si="25"/>
        <v>27.934100000000001</v>
      </c>
      <c r="G126" s="141">
        <f t="shared" si="25"/>
        <v>114.39755</v>
      </c>
      <c r="H126" s="141">
        <f t="shared" si="25"/>
        <v>833.58972222222224</v>
      </c>
      <c r="I126" s="141">
        <f t="shared" si="25"/>
        <v>0.52564999999999995</v>
      </c>
      <c r="J126" s="141">
        <f t="shared" si="25"/>
        <v>0.66905000000000003</v>
      </c>
      <c r="K126" s="141">
        <f t="shared" si="25"/>
        <v>29.084700000000005</v>
      </c>
      <c r="L126" s="141">
        <f t="shared" si="25"/>
        <v>0.70956999999999981</v>
      </c>
      <c r="M126" s="141">
        <f t="shared" si="25"/>
        <v>4.6193999999999997</v>
      </c>
      <c r="N126" s="141">
        <f t="shared" si="25"/>
        <v>386.35</v>
      </c>
      <c r="O126" s="141">
        <f t="shared" si="25"/>
        <v>580.06399999999996</v>
      </c>
      <c r="P126" s="141">
        <f t="shared" si="25"/>
        <v>141.221</v>
      </c>
      <c r="Q126" s="141">
        <f t="shared" si="25"/>
        <v>8.2624000000000013</v>
      </c>
      <c r="R126" s="141">
        <f t="shared" si="25"/>
        <v>3.0575999999999999</v>
      </c>
      <c r="S126" s="141">
        <f t="shared" si="25"/>
        <v>5.0647099999999998</v>
      </c>
      <c r="T126" s="136"/>
    </row>
    <row r="127" spans="1:23" ht="11.4" customHeight="1" x14ac:dyDescent="0.25">
      <c r="S127" s="1"/>
    </row>
    <row r="128" spans="1:23" ht="11.4" customHeight="1" x14ac:dyDescent="0.25">
      <c r="S128" s="1"/>
      <c r="W128" s="72" t="s">
        <v>96</v>
      </c>
    </row>
    <row r="129" spans="19:19" ht="11.4" customHeight="1" x14ac:dyDescent="0.25">
      <c r="S129" s="1"/>
    </row>
    <row r="130" spans="19:19" ht="11.4" customHeight="1" x14ac:dyDescent="0.25">
      <c r="S130" s="1"/>
    </row>
    <row r="131" spans="19:19" ht="11.4" customHeight="1" x14ac:dyDescent="0.25">
      <c r="S131" s="1"/>
    </row>
    <row r="132" spans="19:19" ht="11.4" customHeight="1" x14ac:dyDescent="0.25">
      <c r="S132" s="1"/>
    </row>
    <row r="133" spans="19:19" ht="11.4" customHeight="1" x14ac:dyDescent="0.25">
      <c r="S133" s="1"/>
    </row>
    <row r="134" spans="19:19" ht="11.4" customHeight="1" x14ac:dyDescent="0.25">
      <c r="S134" s="1"/>
    </row>
    <row r="135" spans="19:19" ht="11.4" customHeight="1" x14ac:dyDescent="0.25">
      <c r="S135" s="1"/>
    </row>
    <row r="136" spans="19:19" ht="11.4" customHeight="1" x14ac:dyDescent="0.25">
      <c r="S136" s="1"/>
    </row>
    <row r="137" spans="19:19" ht="11.4" customHeight="1" x14ac:dyDescent="0.25">
      <c r="S137" s="1"/>
    </row>
    <row r="138" spans="19:19" ht="11.4" customHeight="1" x14ac:dyDescent="0.25">
      <c r="S138" s="1"/>
    </row>
    <row r="139" spans="19:19" ht="11.4" customHeight="1" x14ac:dyDescent="0.25">
      <c r="S139" s="1"/>
    </row>
    <row r="140" spans="19:19" ht="11.4" customHeight="1" x14ac:dyDescent="0.25">
      <c r="S140" s="1"/>
    </row>
    <row r="141" spans="19:19" ht="11.4" customHeight="1" x14ac:dyDescent="0.25">
      <c r="S141" s="1"/>
    </row>
    <row r="142" spans="19:19" ht="11.4" customHeight="1" x14ac:dyDescent="0.25">
      <c r="S142" s="1"/>
    </row>
    <row r="143" spans="19:19" ht="11.4" customHeight="1" x14ac:dyDescent="0.25">
      <c r="S143" s="1"/>
    </row>
    <row r="144" spans="19:19" ht="11.4" customHeight="1" x14ac:dyDescent="0.25">
      <c r="S144" s="1"/>
    </row>
    <row r="145" spans="19:19" ht="11.4" customHeight="1" x14ac:dyDescent="0.25">
      <c r="S145" s="1"/>
    </row>
    <row r="146" spans="19:19" ht="11.4" customHeight="1" x14ac:dyDescent="0.25">
      <c r="S146" s="1"/>
    </row>
    <row r="147" spans="19:19" ht="11.4" customHeight="1" x14ac:dyDescent="0.25">
      <c r="S147" s="1"/>
    </row>
    <row r="148" spans="19:19" ht="11.4" customHeight="1" x14ac:dyDescent="0.25">
      <c r="S148" s="1"/>
    </row>
    <row r="149" spans="19:19" ht="11.4" customHeight="1" x14ac:dyDescent="0.25">
      <c r="S149" s="1"/>
    </row>
    <row r="150" spans="19:19" ht="11.4" customHeight="1" x14ac:dyDescent="0.25">
      <c r="S150" s="1"/>
    </row>
    <row r="151" spans="19:19" ht="11.4" customHeight="1" x14ac:dyDescent="0.25">
      <c r="S151" s="1"/>
    </row>
    <row r="152" spans="19:19" ht="11.4" customHeight="1" x14ac:dyDescent="0.25">
      <c r="S152" s="1"/>
    </row>
    <row r="153" spans="19:19" ht="11.4" customHeight="1" x14ac:dyDescent="0.25">
      <c r="S153" s="1"/>
    </row>
    <row r="154" spans="19:19" ht="11.4" customHeight="1" x14ac:dyDescent="0.25">
      <c r="S154" s="1"/>
    </row>
    <row r="155" spans="19:19" ht="11.4" customHeight="1" x14ac:dyDescent="0.25">
      <c r="S155" s="1"/>
    </row>
    <row r="156" spans="19:19" ht="11.4" customHeight="1" x14ac:dyDescent="0.25">
      <c r="S156" s="1"/>
    </row>
    <row r="157" spans="19:19" ht="11.4" customHeight="1" x14ac:dyDescent="0.25">
      <c r="S157" s="1"/>
    </row>
    <row r="158" spans="19:19" ht="11.4" customHeight="1" x14ac:dyDescent="0.25">
      <c r="S158" s="1"/>
    </row>
    <row r="159" spans="19:19" ht="11.4" customHeight="1" x14ac:dyDescent="0.25">
      <c r="S159" s="1"/>
    </row>
    <row r="160" spans="19:19" ht="11.4" customHeight="1" x14ac:dyDescent="0.25">
      <c r="S160" s="1"/>
    </row>
    <row r="161" spans="19:19" ht="11.4" customHeight="1" x14ac:dyDescent="0.25">
      <c r="S161" s="1"/>
    </row>
    <row r="162" spans="19:19" ht="11.4" customHeight="1" x14ac:dyDescent="0.25">
      <c r="S162" s="1"/>
    </row>
    <row r="163" spans="19:19" ht="11.4" customHeight="1" x14ac:dyDescent="0.25">
      <c r="S163" s="1"/>
    </row>
    <row r="164" spans="19:19" ht="11.4" customHeight="1" x14ac:dyDescent="0.25">
      <c r="S164" s="1"/>
    </row>
    <row r="165" spans="19:19" ht="11.4" customHeight="1" x14ac:dyDescent="0.25">
      <c r="S165" s="1"/>
    </row>
    <row r="166" spans="19:19" ht="11.4" customHeight="1" x14ac:dyDescent="0.25">
      <c r="S166" s="1"/>
    </row>
    <row r="167" spans="19:19" ht="11.4" customHeight="1" x14ac:dyDescent="0.25">
      <c r="S167" s="1"/>
    </row>
    <row r="168" spans="19:19" ht="11.4" customHeight="1" x14ac:dyDescent="0.25">
      <c r="S168" s="1"/>
    </row>
    <row r="169" spans="19:19" ht="11.4" customHeight="1" x14ac:dyDescent="0.25">
      <c r="S169" s="1"/>
    </row>
    <row r="170" spans="19:19" ht="11.4" customHeight="1" x14ac:dyDescent="0.25">
      <c r="S170" s="1"/>
    </row>
    <row r="171" spans="19:19" ht="11.4" customHeight="1" x14ac:dyDescent="0.25">
      <c r="S171" s="1"/>
    </row>
    <row r="172" spans="19:19" ht="11.4" customHeight="1" x14ac:dyDescent="0.25">
      <c r="S172" s="1"/>
    </row>
    <row r="173" spans="19:19" ht="11.4" customHeight="1" x14ac:dyDescent="0.25">
      <c r="S173" s="1"/>
    </row>
    <row r="174" spans="19:19" ht="11.4" customHeight="1" x14ac:dyDescent="0.25">
      <c r="S174" s="1"/>
    </row>
    <row r="175" spans="19:19" ht="11.4" customHeight="1" x14ac:dyDescent="0.25">
      <c r="S175" s="1"/>
    </row>
    <row r="176" spans="19:19" ht="11.4" customHeight="1" x14ac:dyDescent="0.25">
      <c r="S176" s="1"/>
    </row>
    <row r="177" spans="19:19" ht="11.4" customHeight="1" x14ac:dyDescent="0.25">
      <c r="S177" s="1"/>
    </row>
    <row r="178" spans="19:19" ht="11.4" customHeight="1" x14ac:dyDescent="0.25">
      <c r="S178" s="1"/>
    </row>
    <row r="179" spans="19:19" ht="11.4" customHeight="1" x14ac:dyDescent="0.25">
      <c r="S179" s="1"/>
    </row>
    <row r="180" spans="19:19" ht="11.4" customHeight="1" x14ac:dyDescent="0.25">
      <c r="S180" s="1"/>
    </row>
    <row r="181" spans="19:19" ht="11.4" customHeight="1" x14ac:dyDescent="0.25">
      <c r="S181" s="1"/>
    </row>
    <row r="182" spans="19:19" ht="11.4" customHeight="1" x14ac:dyDescent="0.25">
      <c r="S182" s="1"/>
    </row>
    <row r="183" spans="19:19" ht="11.4" customHeight="1" x14ac:dyDescent="0.25">
      <c r="S183" s="1"/>
    </row>
    <row r="184" spans="19:19" ht="11.4" customHeight="1" x14ac:dyDescent="0.25">
      <c r="S184" s="1"/>
    </row>
    <row r="185" spans="19:19" ht="11.4" customHeight="1" x14ac:dyDescent="0.25">
      <c r="S185" s="1"/>
    </row>
    <row r="186" spans="19:19" ht="11.4" customHeight="1" x14ac:dyDescent="0.25">
      <c r="S186" s="1"/>
    </row>
    <row r="187" spans="19:19" ht="11.4" customHeight="1" x14ac:dyDescent="0.25">
      <c r="S187" s="1"/>
    </row>
    <row r="188" spans="19:19" ht="11.4" customHeight="1" x14ac:dyDescent="0.25">
      <c r="S188" s="1"/>
    </row>
    <row r="189" spans="19:19" ht="11.4" customHeight="1" x14ac:dyDescent="0.25">
      <c r="S189" s="1"/>
    </row>
    <row r="190" spans="19:19" ht="11.4" customHeight="1" x14ac:dyDescent="0.25">
      <c r="S190" s="1"/>
    </row>
    <row r="191" spans="19:19" ht="11.4" customHeight="1" x14ac:dyDescent="0.25">
      <c r="S191" s="1"/>
    </row>
    <row r="192" spans="19:19" ht="11.4" customHeight="1" x14ac:dyDescent="0.25">
      <c r="S192" s="1"/>
    </row>
    <row r="193" spans="19:19" ht="11.4" customHeight="1" x14ac:dyDescent="0.25">
      <c r="S193" s="1"/>
    </row>
    <row r="194" spans="19:19" ht="11.4" customHeight="1" x14ac:dyDescent="0.25">
      <c r="S194" s="1"/>
    </row>
    <row r="195" spans="19:19" ht="11.4" customHeight="1" x14ac:dyDescent="0.25">
      <c r="S195" s="1"/>
    </row>
    <row r="196" spans="19:19" ht="11.4" customHeight="1" x14ac:dyDescent="0.25">
      <c r="S196" s="1"/>
    </row>
    <row r="197" spans="19:19" ht="11.4" customHeight="1" x14ac:dyDescent="0.25">
      <c r="S197" s="1"/>
    </row>
    <row r="198" spans="19:19" ht="11.4" customHeight="1" x14ac:dyDescent="0.25">
      <c r="S198" s="1"/>
    </row>
    <row r="199" spans="19:19" ht="11.4" customHeight="1" x14ac:dyDescent="0.25">
      <c r="S199" s="1"/>
    </row>
    <row r="200" spans="19:19" ht="11.4" customHeight="1" x14ac:dyDescent="0.25">
      <c r="S200" s="1"/>
    </row>
    <row r="201" spans="19:19" ht="11.4" customHeight="1" x14ac:dyDescent="0.25">
      <c r="S201" s="1"/>
    </row>
    <row r="202" spans="19:19" ht="11.4" customHeight="1" x14ac:dyDescent="0.25">
      <c r="S202" s="1"/>
    </row>
    <row r="203" spans="19:19" ht="11.4" customHeight="1" x14ac:dyDescent="0.25">
      <c r="S203" s="1"/>
    </row>
    <row r="204" spans="19:19" ht="11.4" customHeight="1" x14ac:dyDescent="0.25">
      <c r="S204" s="1"/>
    </row>
    <row r="205" spans="19:19" ht="11.4" customHeight="1" x14ac:dyDescent="0.25">
      <c r="S205" s="1"/>
    </row>
    <row r="206" spans="19:19" ht="11.4" customHeight="1" x14ac:dyDescent="0.25">
      <c r="S206" s="1"/>
    </row>
    <row r="207" spans="19:19" ht="11.4" customHeight="1" x14ac:dyDescent="0.25">
      <c r="S207" s="1"/>
    </row>
    <row r="208" spans="19:19" ht="11.4" customHeight="1" x14ac:dyDescent="0.25">
      <c r="S208" s="1"/>
    </row>
    <row r="209" spans="19:19" ht="11.4" customHeight="1" x14ac:dyDescent="0.25">
      <c r="S209" s="1"/>
    </row>
    <row r="210" spans="19:19" ht="11.4" customHeight="1" x14ac:dyDescent="0.25">
      <c r="S210" s="1"/>
    </row>
    <row r="211" spans="19:19" ht="11.4" customHeight="1" x14ac:dyDescent="0.25">
      <c r="S211" s="1"/>
    </row>
    <row r="212" spans="19:19" ht="11.4" customHeight="1" x14ac:dyDescent="0.25">
      <c r="S212" s="1"/>
    </row>
    <row r="213" spans="19:19" ht="11.4" customHeight="1" x14ac:dyDescent="0.25">
      <c r="S213" s="1"/>
    </row>
    <row r="214" spans="19:19" ht="11.4" customHeight="1" x14ac:dyDescent="0.25">
      <c r="S214" s="1"/>
    </row>
    <row r="215" spans="19:19" ht="11.4" customHeight="1" x14ac:dyDescent="0.25">
      <c r="S215" s="1"/>
    </row>
    <row r="216" spans="19:19" ht="11.4" customHeight="1" x14ac:dyDescent="0.25">
      <c r="S216" s="1"/>
    </row>
    <row r="217" spans="19:19" ht="11.4" customHeight="1" x14ac:dyDescent="0.25">
      <c r="S217" s="1"/>
    </row>
    <row r="218" spans="19:19" ht="11.4" customHeight="1" x14ac:dyDescent="0.25">
      <c r="S218" s="1"/>
    </row>
    <row r="219" spans="19:19" ht="11.4" customHeight="1" x14ac:dyDescent="0.25">
      <c r="S219" s="1"/>
    </row>
    <row r="220" spans="19:19" ht="11.4" customHeight="1" x14ac:dyDescent="0.25">
      <c r="S220" s="1"/>
    </row>
    <row r="221" spans="19:19" ht="11.4" customHeight="1" x14ac:dyDescent="0.25">
      <c r="S221" s="1"/>
    </row>
    <row r="222" spans="19:19" ht="11.4" customHeight="1" x14ac:dyDescent="0.25">
      <c r="S222" s="1"/>
    </row>
    <row r="223" spans="19:19" ht="11.4" customHeight="1" x14ac:dyDescent="0.25">
      <c r="S223" s="1"/>
    </row>
    <row r="224" spans="19:19" ht="11.4" customHeight="1" x14ac:dyDescent="0.25">
      <c r="S224" s="1"/>
    </row>
    <row r="225" spans="19:19" ht="11.4" customHeight="1" x14ac:dyDescent="0.25">
      <c r="S225" s="1"/>
    </row>
    <row r="226" spans="19:19" ht="11.4" customHeight="1" x14ac:dyDescent="0.25">
      <c r="S226" s="1"/>
    </row>
    <row r="227" spans="19:19" ht="11.4" customHeight="1" x14ac:dyDescent="0.25">
      <c r="S227" s="1"/>
    </row>
    <row r="228" spans="19:19" ht="11.4" customHeight="1" x14ac:dyDescent="0.25">
      <c r="S228" s="1"/>
    </row>
    <row r="229" spans="19:19" ht="11.4" customHeight="1" x14ac:dyDescent="0.25">
      <c r="S229" s="1"/>
    </row>
    <row r="230" spans="19:19" ht="11.4" customHeight="1" x14ac:dyDescent="0.25">
      <c r="S230" s="1"/>
    </row>
    <row r="231" spans="19:19" ht="11.4" customHeight="1" x14ac:dyDescent="0.25">
      <c r="S231" s="1"/>
    </row>
    <row r="232" spans="19:19" ht="11.4" customHeight="1" x14ac:dyDescent="0.25">
      <c r="S232" s="1"/>
    </row>
  </sheetData>
  <mergeCells count="18">
    <mergeCell ref="D2:D3"/>
    <mergeCell ref="E2:G2"/>
    <mergeCell ref="H2:H3"/>
    <mergeCell ref="N2:R2"/>
    <mergeCell ref="I2:M2"/>
    <mergeCell ref="B61:C61"/>
    <mergeCell ref="B72:C72"/>
    <mergeCell ref="B95:C95"/>
    <mergeCell ref="B107:C107"/>
    <mergeCell ref="A2:A3"/>
    <mergeCell ref="B2:B3"/>
    <mergeCell ref="C2:C3"/>
    <mergeCell ref="B39:C39"/>
    <mergeCell ref="B4:C4"/>
    <mergeCell ref="B15:C15"/>
    <mergeCell ref="B27:C27"/>
    <mergeCell ref="B50:C50"/>
    <mergeCell ref="B84:C84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Сырьё лето</vt:lpstr>
      <vt:lpstr>Меню лето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2020-10-23T11:06:45Z</dcterms:modified>
</cp:coreProperties>
</file>